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ТСН-2001'!$A$1:$L$282</definedName>
    <definedName name="_xlnm.Print_Area" localSheetId="0">'Смета по ТСН-2001'!$A$1:$K$274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79" i="6"/>
  <c r="I276" i="6"/>
  <c r="D279" i="6"/>
  <c r="D276" i="6"/>
  <c r="K273" i="6"/>
  <c r="D273" i="6"/>
  <c r="K272" i="6"/>
  <c r="D272" i="6"/>
  <c r="K271" i="6"/>
  <c r="D271" i="6"/>
  <c r="I270" i="6"/>
  <c r="K270" i="6"/>
  <c r="I269" i="6"/>
  <c r="K269" i="6"/>
  <c r="I266" i="6"/>
  <c r="K266" i="6"/>
  <c r="I265" i="6"/>
  <c r="K265" i="6"/>
  <c r="AL264" i="6"/>
  <c r="A264" i="6"/>
  <c r="I262" i="6"/>
  <c r="K262" i="6"/>
  <c r="I261" i="6"/>
  <c r="K261" i="6"/>
  <c r="A260" i="6"/>
  <c r="Z258" i="6"/>
  <c r="Y258" i="6"/>
  <c r="X258" i="6"/>
  <c r="L257" i="6"/>
  <c r="K258" i="6" s="1"/>
  <c r="K257" i="6"/>
  <c r="J257" i="6"/>
  <c r="I258" i="6" s="1"/>
  <c r="I257" i="6"/>
  <c r="H257" i="6"/>
  <c r="G257" i="6"/>
  <c r="V257" i="6"/>
  <c r="T257" i="6"/>
  <c r="R257" i="6"/>
  <c r="U257" i="6"/>
  <c r="S257" i="6"/>
  <c r="Q257" i="6"/>
  <c r="F257" i="6"/>
  <c r="E257" i="6"/>
  <c r="C257" i="6"/>
  <c r="B257" i="6"/>
  <c r="AA256" i="6"/>
  <c r="Z256" i="6"/>
  <c r="X256" i="6"/>
  <c r="L255" i="6"/>
  <c r="K256" i="6" s="1"/>
  <c r="K255" i="6"/>
  <c r="J255" i="6"/>
  <c r="I256" i="6" s="1"/>
  <c r="I255" i="6"/>
  <c r="H255" i="6"/>
  <c r="G255" i="6"/>
  <c r="V255" i="6"/>
  <c r="T255" i="6"/>
  <c r="R255" i="6"/>
  <c r="U255" i="6"/>
  <c r="S255" i="6"/>
  <c r="Q255" i="6"/>
  <c r="F255" i="6"/>
  <c r="E255" i="6"/>
  <c r="C255" i="6"/>
  <c r="B255" i="6"/>
  <c r="AA254" i="6"/>
  <c r="Z254" i="6"/>
  <c r="X254" i="6"/>
  <c r="L253" i="6"/>
  <c r="K254" i="6" s="1"/>
  <c r="K253" i="6"/>
  <c r="J253" i="6"/>
  <c r="I254" i="6" s="1"/>
  <c r="I253" i="6"/>
  <c r="H253" i="6"/>
  <c r="G253" i="6"/>
  <c r="V253" i="6"/>
  <c r="T253" i="6"/>
  <c r="R253" i="6"/>
  <c r="U253" i="6"/>
  <c r="S253" i="6"/>
  <c r="Q253" i="6"/>
  <c r="F253" i="6"/>
  <c r="E253" i="6"/>
  <c r="C253" i="6"/>
  <c r="B253" i="6"/>
  <c r="AA252" i="6"/>
  <c r="Z252" i="6"/>
  <c r="X252" i="6"/>
  <c r="L251" i="6"/>
  <c r="K252" i="6" s="1"/>
  <c r="K251" i="6"/>
  <c r="J251" i="6"/>
  <c r="I252" i="6" s="1"/>
  <c r="I251" i="6"/>
  <c r="H251" i="6"/>
  <c r="G251" i="6"/>
  <c r="V251" i="6"/>
  <c r="T251" i="6"/>
  <c r="R251" i="6"/>
  <c r="U251" i="6"/>
  <c r="S251" i="6"/>
  <c r="Q251" i="6"/>
  <c r="F251" i="6"/>
  <c r="E251" i="6"/>
  <c r="C251" i="6"/>
  <c r="B251" i="6"/>
  <c r="AA250" i="6"/>
  <c r="Z250" i="6"/>
  <c r="Y250" i="6"/>
  <c r="X250" i="6"/>
  <c r="O250" i="6"/>
  <c r="P250" i="6"/>
  <c r="D249" i="6"/>
  <c r="L248" i="6"/>
  <c r="K250" i="6" s="1"/>
  <c r="K248" i="6"/>
  <c r="J248" i="6"/>
  <c r="I250" i="6" s="1"/>
  <c r="I248" i="6"/>
  <c r="H248" i="6"/>
  <c r="G248" i="6"/>
  <c r="V248" i="6"/>
  <c r="T248" i="6"/>
  <c r="R248" i="6"/>
  <c r="U248" i="6"/>
  <c r="S248" i="6"/>
  <c r="Q248" i="6"/>
  <c r="F248" i="6"/>
  <c r="E248" i="6"/>
  <c r="C248" i="6"/>
  <c r="B248" i="6"/>
  <c r="AA247" i="6"/>
  <c r="Z247" i="6"/>
  <c r="X247" i="6"/>
  <c r="D246" i="6"/>
  <c r="L245" i="6"/>
  <c r="P247" i="6" s="1"/>
  <c r="K245" i="6"/>
  <c r="J245" i="6"/>
  <c r="Y247" i="6" s="1"/>
  <c r="I245" i="6"/>
  <c r="H245" i="6"/>
  <c r="G245" i="6"/>
  <c r="V245" i="6"/>
  <c r="T245" i="6"/>
  <c r="R245" i="6"/>
  <c r="U245" i="6"/>
  <c r="S245" i="6"/>
  <c r="Q245" i="6"/>
  <c r="F245" i="6"/>
  <c r="E245" i="6"/>
  <c r="C245" i="6"/>
  <c r="B245" i="6"/>
  <c r="AA244" i="6"/>
  <c r="Z244" i="6"/>
  <c r="Y244" i="6"/>
  <c r="X244" i="6"/>
  <c r="O244" i="6"/>
  <c r="P244" i="6"/>
  <c r="D243" i="6"/>
  <c r="L242" i="6"/>
  <c r="K244" i="6" s="1"/>
  <c r="K242" i="6"/>
  <c r="J242" i="6"/>
  <c r="I244" i="6" s="1"/>
  <c r="I242" i="6"/>
  <c r="H242" i="6"/>
  <c r="G242" i="6"/>
  <c r="V242" i="6"/>
  <c r="T242" i="6"/>
  <c r="R242" i="6"/>
  <c r="U242" i="6"/>
  <c r="S242" i="6"/>
  <c r="Q242" i="6"/>
  <c r="F242" i="6"/>
  <c r="E242" i="6"/>
  <c r="C242" i="6"/>
  <c r="B242" i="6"/>
  <c r="A241" i="6"/>
  <c r="I239" i="6"/>
  <c r="K239" i="6"/>
  <c r="I238" i="6"/>
  <c r="K238" i="6"/>
  <c r="A237" i="6"/>
  <c r="Z235" i="6"/>
  <c r="Y235" i="6"/>
  <c r="X235" i="6"/>
  <c r="J234" i="6"/>
  <c r="I234" i="6"/>
  <c r="H234" i="6"/>
  <c r="F234" i="6"/>
  <c r="K233" i="6"/>
  <c r="F233" i="6"/>
  <c r="K232" i="6"/>
  <c r="F232" i="6"/>
  <c r="L231" i="6"/>
  <c r="K231" i="6"/>
  <c r="J231" i="6"/>
  <c r="I231" i="6"/>
  <c r="H231" i="6"/>
  <c r="G231" i="6"/>
  <c r="V230" i="6"/>
  <c r="T230" i="6"/>
  <c r="L233" i="6" s="1"/>
  <c r="R230" i="6"/>
  <c r="L232" i="6" s="1"/>
  <c r="K235" i="6" s="1"/>
  <c r="U230" i="6"/>
  <c r="S230" i="6"/>
  <c r="J233" i="6" s="1"/>
  <c r="Q230" i="6"/>
  <c r="J232" i="6" s="1"/>
  <c r="F230" i="6"/>
  <c r="E230" i="6"/>
  <c r="C230" i="6"/>
  <c r="B230" i="6"/>
  <c r="Z229" i="6"/>
  <c r="Y229" i="6"/>
  <c r="X229" i="6"/>
  <c r="J228" i="6"/>
  <c r="I228" i="6"/>
  <c r="H228" i="6"/>
  <c r="F228" i="6"/>
  <c r="K227" i="6"/>
  <c r="J227" i="6"/>
  <c r="F227" i="6"/>
  <c r="L226" i="6"/>
  <c r="K226" i="6"/>
  <c r="F226" i="6"/>
  <c r="L225" i="6"/>
  <c r="K225" i="6"/>
  <c r="W225" i="6"/>
  <c r="J225" i="6"/>
  <c r="I229" i="6" s="1"/>
  <c r="I225" i="6"/>
  <c r="H225" i="6"/>
  <c r="G225" i="6"/>
  <c r="V224" i="6"/>
  <c r="T224" i="6"/>
  <c r="L227" i="6" s="1"/>
  <c r="R224" i="6"/>
  <c r="U224" i="6"/>
  <c r="S224" i="6"/>
  <c r="Q224" i="6"/>
  <c r="J226" i="6" s="1"/>
  <c r="F224" i="6"/>
  <c r="E224" i="6"/>
  <c r="C224" i="6"/>
  <c r="B224" i="6"/>
  <c r="Z223" i="6"/>
  <c r="Y223" i="6"/>
  <c r="X223" i="6"/>
  <c r="J222" i="6"/>
  <c r="I222" i="6"/>
  <c r="H222" i="6"/>
  <c r="F222" i="6"/>
  <c r="K221" i="6"/>
  <c r="F221" i="6"/>
  <c r="K220" i="6"/>
  <c r="F220" i="6"/>
  <c r="L219" i="6"/>
  <c r="K219" i="6"/>
  <c r="J219" i="6"/>
  <c r="I219" i="6"/>
  <c r="H219" i="6"/>
  <c r="G219" i="6"/>
  <c r="V218" i="6"/>
  <c r="T218" i="6"/>
  <c r="L221" i="6" s="1"/>
  <c r="R218" i="6"/>
  <c r="L220" i="6" s="1"/>
  <c r="U218" i="6"/>
  <c r="S218" i="6"/>
  <c r="J221" i="6" s="1"/>
  <c r="Q218" i="6"/>
  <c r="J220" i="6" s="1"/>
  <c r="F218" i="6"/>
  <c r="E218" i="6"/>
  <c r="C218" i="6"/>
  <c r="B218" i="6"/>
  <c r="Z217" i="6"/>
  <c r="Y217" i="6"/>
  <c r="X217" i="6"/>
  <c r="J216" i="6"/>
  <c r="I216" i="6"/>
  <c r="H216" i="6"/>
  <c r="F216" i="6"/>
  <c r="K215" i="6"/>
  <c r="J215" i="6"/>
  <c r="F215" i="6"/>
  <c r="L214" i="6"/>
  <c r="K214" i="6"/>
  <c r="F214" i="6"/>
  <c r="L213" i="6"/>
  <c r="K213" i="6"/>
  <c r="W213" i="6"/>
  <c r="J213" i="6"/>
  <c r="I213" i="6"/>
  <c r="H213" i="6"/>
  <c r="G213" i="6"/>
  <c r="V212" i="6"/>
  <c r="T212" i="6"/>
  <c r="L215" i="6" s="1"/>
  <c r="R212" i="6"/>
  <c r="U212" i="6"/>
  <c r="S212" i="6"/>
  <c r="Q212" i="6"/>
  <c r="J214" i="6" s="1"/>
  <c r="F212" i="6"/>
  <c r="E212" i="6"/>
  <c r="C212" i="6"/>
  <c r="B212" i="6"/>
  <c r="Z211" i="6"/>
  <c r="Y211" i="6"/>
  <c r="X211" i="6"/>
  <c r="J210" i="6"/>
  <c r="I210" i="6"/>
  <c r="H210" i="6"/>
  <c r="F210" i="6"/>
  <c r="K209" i="6"/>
  <c r="F209" i="6"/>
  <c r="K208" i="6"/>
  <c r="F208" i="6"/>
  <c r="L207" i="6"/>
  <c r="K207" i="6"/>
  <c r="J207" i="6"/>
  <c r="I207" i="6"/>
  <c r="H207" i="6"/>
  <c r="G207" i="6"/>
  <c r="V206" i="6"/>
  <c r="T206" i="6"/>
  <c r="L209" i="6" s="1"/>
  <c r="R206" i="6"/>
  <c r="L208" i="6" s="1"/>
  <c r="K211" i="6" s="1"/>
  <c r="U206" i="6"/>
  <c r="S206" i="6"/>
  <c r="J209" i="6" s="1"/>
  <c r="Q206" i="6"/>
  <c r="J208" i="6" s="1"/>
  <c r="F206" i="6"/>
  <c r="E206" i="6"/>
  <c r="C206" i="6"/>
  <c r="B206" i="6"/>
  <c r="Z205" i="6"/>
  <c r="Y205" i="6"/>
  <c r="X205" i="6"/>
  <c r="J204" i="6"/>
  <c r="I204" i="6"/>
  <c r="H204" i="6"/>
  <c r="F204" i="6"/>
  <c r="K203" i="6"/>
  <c r="J203" i="6"/>
  <c r="F203" i="6"/>
  <c r="L202" i="6"/>
  <c r="K202" i="6"/>
  <c r="F202" i="6"/>
  <c r="L201" i="6"/>
  <c r="K201" i="6"/>
  <c r="W201" i="6"/>
  <c r="J201" i="6"/>
  <c r="I205" i="6" s="1"/>
  <c r="I201" i="6"/>
  <c r="H201" i="6"/>
  <c r="G201" i="6"/>
  <c r="V200" i="6"/>
  <c r="T200" i="6"/>
  <c r="L203" i="6" s="1"/>
  <c r="R200" i="6"/>
  <c r="U200" i="6"/>
  <c r="S200" i="6"/>
  <c r="Q200" i="6"/>
  <c r="J202" i="6" s="1"/>
  <c r="F200" i="6"/>
  <c r="E200" i="6"/>
  <c r="C200" i="6"/>
  <c r="B200" i="6"/>
  <c r="Z199" i="6"/>
  <c r="Y199" i="6"/>
  <c r="X199" i="6"/>
  <c r="J198" i="6"/>
  <c r="I198" i="6"/>
  <c r="H198" i="6"/>
  <c r="F198" i="6"/>
  <c r="K197" i="6"/>
  <c r="F197" i="6"/>
  <c r="K196" i="6"/>
  <c r="F196" i="6"/>
  <c r="L195" i="6"/>
  <c r="K195" i="6"/>
  <c r="J195" i="6"/>
  <c r="I195" i="6"/>
  <c r="H195" i="6"/>
  <c r="G195" i="6"/>
  <c r="V194" i="6"/>
  <c r="T194" i="6"/>
  <c r="L197" i="6" s="1"/>
  <c r="R194" i="6"/>
  <c r="L196" i="6" s="1"/>
  <c r="U194" i="6"/>
  <c r="S194" i="6"/>
  <c r="J197" i="6" s="1"/>
  <c r="Q194" i="6"/>
  <c r="J196" i="6" s="1"/>
  <c r="F194" i="6"/>
  <c r="E194" i="6"/>
  <c r="C194" i="6"/>
  <c r="B194" i="6"/>
  <c r="Z193" i="6"/>
  <c r="Y193" i="6"/>
  <c r="X193" i="6"/>
  <c r="J192" i="6"/>
  <c r="I192" i="6"/>
  <c r="H192" i="6"/>
  <c r="F192" i="6"/>
  <c r="K191" i="6"/>
  <c r="J191" i="6"/>
  <c r="F191" i="6"/>
  <c r="L190" i="6"/>
  <c r="K190" i="6"/>
  <c r="F190" i="6"/>
  <c r="L189" i="6"/>
  <c r="K189" i="6"/>
  <c r="W189" i="6"/>
  <c r="J189" i="6"/>
  <c r="I189" i="6"/>
  <c r="H189" i="6"/>
  <c r="G189" i="6"/>
  <c r="V188" i="6"/>
  <c r="T188" i="6"/>
  <c r="L191" i="6" s="1"/>
  <c r="R188" i="6"/>
  <c r="U188" i="6"/>
  <c r="S188" i="6"/>
  <c r="Q188" i="6"/>
  <c r="J190" i="6" s="1"/>
  <c r="F188" i="6"/>
  <c r="E188" i="6"/>
  <c r="C188" i="6"/>
  <c r="B188" i="6"/>
  <c r="Z187" i="6"/>
  <c r="Y187" i="6"/>
  <c r="X187" i="6"/>
  <c r="J186" i="6"/>
  <c r="I186" i="6"/>
  <c r="H186" i="6"/>
  <c r="F186" i="6"/>
  <c r="K185" i="6"/>
  <c r="F185" i="6"/>
  <c r="K184" i="6"/>
  <c r="F184" i="6"/>
  <c r="L183" i="6"/>
  <c r="K183" i="6"/>
  <c r="J183" i="6"/>
  <c r="I183" i="6"/>
  <c r="H183" i="6"/>
  <c r="G183" i="6"/>
  <c r="V182" i="6"/>
  <c r="T182" i="6"/>
  <c r="L185" i="6" s="1"/>
  <c r="R182" i="6"/>
  <c r="L184" i="6" s="1"/>
  <c r="K187" i="6" s="1"/>
  <c r="U182" i="6"/>
  <c r="S182" i="6"/>
  <c r="J185" i="6" s="1"/>
  <c r="Q182" i="6"/>
  <c r="J184" i="6" s="1"/>
  <c r="F182" i="6"/>
  <c r="E182" i="6"/>
  <c r="C182" i="6"/>
  <c r="B182" i="6"/>
  <c r="Z181" i="6"/>
  <c r="Y181" i="6"/>
  <c r="X181" i="6"/>
  <c r="J180" i="6"/>
  <c r="I180" i="6"/>
  <c r="H180" i="6"/>
  <c r="F180" i="6"/>
  <c r="K179" i="6"/>
  <c r="J179" i="6"/>
  <c r="F179" i="6"/>
  <c r="L178" i="6"/>
  <c r="K178" i="6"/>
  <c r="F178" i="6"/>
  <c r="L177" i="6"/>
  <c r="K177" i="6"/>
  <c r="W177" i="6"/>
  <c r="J177" i="6"/>
  <c r="I181" i="6" s="1"/>
  <c r="I177" i="6"/>
  <c r="H177" i="6"/>
  <c r="G177" i="6"/>
  <c r="V176" i="6"/>
  <c r="T176" i="6"/>
  <c r="L179" i="6" s="1"/>
  <c r="R176" i="6"/>
  <c r="U176" i="6"/>
  <c r="S176" i="6"/>
  <c r="Q176" i="6"/>
  <c r="J178" i="6" s="1"/>
  <c r="F176" i="6"/>
  <c r="E176" i="6"/>
  <c r="C176" i="6"/>
  <c r="B176" i="6"/>
  <c r="Z175" i="6"/>
  <c r="Y175" i="6"/>
  <c r="X175" i="6"/>
  <c r="J174" i="6"/>
  <c r="I174" i="6"/>
  <c r="H174" i="6"/>
  <c r="F174" i="6"/>
  <c r="K173" i="6"/>
  <c r="F173" i="6"/>
  <c r="K172" i="6"/>
  <c r="F172" i="6"/>
  <c r="L171" i="6"/>
  <c r="K171" i="6"/>
  <c r="J171" i="6"/>
  <c r="I171" i="6"/>
  <c r="H171" i="6"/>
  <c r="G171" i="6"/>
  <c r="V170" i="6"/>
  <c r="T170" i="6"/>
  <c r="L173" i="6" s="1"/>
  <c r="R170" i="6"/>
  <c r="L172" i="6" s="1"/>
  <c r="U170" i="6"/>
  <c r="S170" i="6"/>
  <c r="J173" i="6" s="1"/>
  <c r="Q170" i="6"/>
  <c r="J172" i="6" s="1"/>
  <c r="F170" i="6"/>
  <c r="E170" i="6"/>
  <c r="C170" i="6"/>
  <c r="B170" i="6"/>
  <c r="A169" i="6"/>
  <c r="I167" i="6"/>
  <c r="K167" i="6"/>
  <c r="I166" i="6"/>
  <c r="K166" i="6"/>
  <c r="A165" i="6"/>
  <c r="AA163" i="6"/>
  <c r="Z163" i="6"/>
  <c r="X163" i="6"/>
  <c r="J162" i="6"/>
  <c r="I162" i="6"/>
  <c r="H162" i="6"/>
  <c r="F162" i="6"/>
  <c r="K161" i="6"/>
  <c r="J161" i="6"/>
  <c r="F161" i="6"/>
  <c r="L160" i="6"/>
  <c r="K160" i="6"/>
  <c r="F160" i="6"/>
  <c r="K159" i="6"/>
  <c r="J159" i="6"/>
  <c r="F159" i="6"/>
  <c r="L158" i="6"/>
  <c r="K158" i="6"/>
  <c r="J158" i="6"/>
  <c r="I158" i="6"/>
  <c r="H158" i="6"/>
  <c r="G158" i="6"/>
  <c r="L157" i="6"/>
  <c r="K157" i="6"/>
  <c r="W157" i="6"/>
  <c r="J157" i="6"/>
  <c r="I157" i="6"/>
  <c r="H157" i="6"/>
  <c r="G157" i="6"/>
  <c r="L156" i="6"/>
  <c r="K156" i="6"/>
  <c r="J156" i="6"/>
  <c r="I156" i="6"/>
  <c r="H156" i="6"/>
  <c r="G156" i="6"/>
  <c r="L155" i="6"/>
  <c r="K155" i="6"/>
  <c r="J155" i="6"/>
  <c r="I155" i="6"/>
  <c r="H155" i="6"/>
  <c r="G155" i="6"/>
  <c r="V154" i="6"/>
  <c r="L161" i="6" s="1"/>
  <c r="T154" i="6"/>
  <c r="R154" i="6"/>
  <c r="L159" i="6" s="1"/>
  <c r="U154" i="6"/>
  <c r="S154" i="6"/>
  <c r="J160" i="6" s="1"/>
  <c r="Q154" i="6"/>
  <c r="F154" i="6"/>
  <c r="E154" i="6"/>
  <c r="C154" i="6"/>
  <c r="B154" i="6"/>
  <c r="AA153" i="6"/>
  <c r="Z153" i="6"/>
  <c r="X153" i="6"/>
  <c r="J152" i="6"/>
  <c r="I152" i="6"/>
  <c r="H152" i="6"/>
  <c r="F152" i="6"/>
  <c r="L151" i="6"/>
  <c r="K151" i="6"/>
  <c r="J151" i="6"/>
  <c r="F151" i="6"/>
  <c r="L150" i="6"/>
  <c r="K150" i="6"/>
  <c r="J150" i="6"/>
  <c r="F150" i="6"/>
  <c r="L149" i="6"/>
  <c r="K149" i="6"/>
  <c r="J149" i="6"/>
  <c r="F149" i="6"/>
  <c r="L148" i="6"/>
  <c r="P153" i="6" s="1"/>
  <c r="K148" i="6"/>
  <c r="J148" i="6"/>
  <c r="Y153" i="6" s="1"/>
  <c r="I148" i="6"/>
  <c r="H148" i="6"/>
  <c r="G148" i="6"/>
  <c r="L147" i="6"/>
  <c r="K147" i="6"/>
  <c r="W147" i="6"/>
  <c r="J147" i="6"/>
  <c r="I147" i="6"/>
  <c r="H147" i="6"/>
  <c r="G147" i="6"/>
  <c r="L146" i="6"/>
  <c r="K146" i="6"/>
  <c r="J146" i="6"/>
  <c r="I146" i="6"/>
  <c r="H146" i="6"/>
  <c r="G146" i="6"/>
  <c r="L145" i="6"/>
  <c r="K145" i="6"/>
  <c r="J145" i="6"/>
  <c r="I145" i="6"/>
  <c r="H145" i="6"/>
  <c r="G145" i="6"/>
  <c r="V144" i="6"/>
  <c r="T144" i="6"/>
  <c r="R144" i="6"/>
  <c r="U144" i="6"/>
  <c r="S144" i="6"/>
  <c r="Q144" i="6"/>
  <c r="F144" i="6"/>
  <c r="E144" i="6"/>
  <c r="C144" i="6"/>
  <c r="B144" i="6"/>
  <c r="AA143" i="6"/>
  <c r="Z143" i="6"/>
  <c r="X143" i="6"/>
  <c r="J142" i="6"/>
  <c r="I142" i="6"/>
  <c r="H142" i="6"/>
  <c r="F142" i="6"/>
  <c r="L141" i="6"/>
  <c r="K141" i="6"/>
  <c r="F141" i="6"/>
  <c r="K140" i="6"/>
  <c r="F140" i="6"/>
  <c r="L139" i="6"/>
  <c r="K139" i="6"/>
  <c r="J139" i="6"/>
  <c r="I139" i="6"/>
  <c r="H139" i="6"/>
  <c r="G139" i="6"/>
  <c r="L138" i="6"/>
  <c r="K138" i="6"/>
  <c r="W138" i="6"/>
  <c r="J138" i="6"/>
  <c r="I138" i="6"/>
  <c r="H138" i="6"/>
  <c r="G138" i="6"/>
  <c r="D137" i="6"/>
  <c r="V136" i="6"/>
  <c r="T136" i="6"/>
  <c r="R136" i="6"/>
  <c r="L140" i="6" s="1"/>
  <c r="U136" i="6"/>
  <c r="S136" i="6"/>
  <c r="J141" i="6" s="1"/>
  <c r="Q136" i="6"/>
  <c r="J140" i="6" s="1"/>
  <c r="F136" i="6"/>
  <c r="E136" i="6"/>
  <c r="C136" i="6"/>
  <c r="B136" i="6"/>
  <c r="AA135" i="6"/>
  <c r="Z135" i="6"/>
  <c r="X135" i="6"/>
  <c r="J134" i="6"/>
  <c r="I134" i="6"/>
  <c r="H134" i="6"/>
  <c r="F134" i="6"/>
  <c r="K133" i="6"/>
  <c r="F133" i="6"/>
  <c r="K132" i="6"/>
  <c r="F132" i="6"/>
  <c r="K131" i="6"/>
  <c r="F131" i="6"/>
  <c r="L130" i="6"/>
  <c r="K130" i="6"/>
  <c r="W130" i="6"/>
  <c r="J130" i="6"/>
  <c r="I130" i="6"/>
  <c r="H130" i="6"/>
  <c r="G130" i="6"/>
  <c r="L129" i="6"/>
  <c r="K129" i="6"/>
  <c r="J129" i="6"/>
  <c r="I129" i="6"/>
  <c r="H129" i="6"/>
  <c r="G129" i="6"/>
  <c r="L128" i="6"/>
  <c r="K128" i="6"/>
  <c r="J128" i="6"/>
  <c r="I128" i="6"/>
  <c r="H128" i="6"/>
  <c r="G128" i="6"/>
  <c r="D127" i="6"/>
  <c r="V126" i="6"/>
  <c r="L133" i="6" s="1"/>
  <c r="T126" i="6"/>
  <c r="L132" i="6" s="1"/>
  <c r="R126" i="6"/>
  <c r="L131" i="6" s="1"/>
  <c r="U126" i="6"/>
  <c r="J133" i="6" s="1"/>
  <c r="S126" i="6"/>
  <c r="J132" i="6" s="1"/>
  <c r="Q126" i="6"/>
  <c r="J131" i="6" s="1"/>
  <c r="F126" i="6"/>
  <c r="E126" i="6"/>
  <c r="C126" i="6"/>
  <c r="B126" i="6"/>
  <c r="AA125" i="6"/>
  <c r="Z125" i="6"/>
  <c r="X125" i="6"/>
  <c r="J124" i="6"/>
  <c r="I124" i="6"/>
  <c r="H124" i="6"/>
  <c r="F124" i="6"/>
  <c r="K123" i="6"/>
  <c r="F123" i="6"/>
  <c r="K122" i="6"/>
  <c r="F122" i="6"/>
  <c r="K121" i="6"/>
  <c r="F121" i="6"/>
  <c r="L120" i="6"/>
  <c r="K120" i="6"/>
  <c r="J120" i="6"/>
  <c r="I120" i="6"/>
  <c r="H120" i="6"/>
  <c r="G120" i="6"/>
  <c r="L119" i="6"/>
  <c r="K119" i="6"/>
  <c r="J119" i="6"/>
  <c r="W119" i="6" s="1"/>
  <c r="I119" i="6"/>
  <c r="H119" i="6"/>
  <c r="G119" i="6"/>
  <c r="L118" i="6"/>
  <c r="K118" i="6"/>
  <c r="J118" i="6"/>
  <c r="I118" i="6"/>
  <c r="H118" i="6"/>
  <c r="G118" i="6"/>
  <c r="L117" i="6"/>
  <c r="K117" i="6"/>
  <c r="W117" i="6"/>
  <c r="J117" i="6"/>
  <c r="I117" i="6"/>
  <c r="H117" i="6"/>
  <c r="G117" i="6"/>
  <c r="D116" i="6"/>
  <c r="V115" i="6"/>
  <c r="L123" i="6" s="1"/>
  <c r="T115" i="6"/>
  <c r="L122" i="6" s="1"/>
  <c r="R115" i="6"/>
  <c r="L121" i="6" s="1"/>
  <c r="U115" i="6"/>
  <c r="J123" i="6" s="1"/>
  <c r="S115" i="6"/>
  <c r="J122" i="6" s="1"/>
  <c r="Q115" i="6"/>
  <c r="J121" i="6" s="1"/>
  <c r="F115" i="6"/>
  <c r="E115" i="6"/>
  <c r="C115" i="6"/>
  <c r="B115" i="6"/>
  <c r="AA114" i="6"/>
  <c r="Z114" i="6"/>
  <c r="X114" i="6"/>
  <c r="J113" i="6"/>
  <c r="I113" i="6"/>
  <c r="H113" i="6"/>
  <c r="F113" i="6"/>
  <c r="K112" i="6"/>
  <c r="F112" i="6"/>
  <c r="K111" i="6"/>
  <c r="F111" i="6"/>
  <c r="K110" i="6"/>
  <c r="F110" i="6"/>
  <c r="L109" i="6"/>
  <c r="K109" i="6"/>
  <c r="W109" i="6"/>
  <c r="J109" i="6"/>
  <c r="I109" i="6"/>
  <c r="H109" i="6"/>
  <c r="G109" i="6"/>
  <c r="L108" i="6"/>
  <c r="K108" i="6"/>
  <c r="J108" i="6"/>
  <c r="I108" i="6"/>
  <c r="H108" i="6"/>
  <c r="G108" i="6"/>
  <c r="L107" i="6"/>
  <c r="K107" i="6"/>
  <c r="J107" i="6"/>
  <c r="I107" i="6"/>
  <c r="H107" i="6"/>
  <c r="G107" i="6"/>
  <c r="D106" i="6"/>
  <c r="V105" i="6"/>
  <c r="L112" i="6" s="1"/>
  <c r="T105" i="6"/>
  <c r="L111" i="6" s="1"/>
  <c r="R105" i="6"/>
  <c r="L110" i="6" s="1"/>
  <c r="U105" i="6"/>
  <c r="J112" i="6" s="1"/>
  <c r="S105" i="6"/>
  <c r="J111" i="6" s="1"/>
  <c r="Q105" i="6"/>
  <c r="J110" i="6" s="1"/>
  <c r="F105" i="6"/>
  <c r="E105" i="6"/>
  <c r="C105" i="6"/>
  <c r="B105" i="6"/>
  <c r="AA104" i="6"/>
  <c r="Z104" i="6"/>
  <c r="X104" i="6"/>
  <c r="J103" i="6"/>
  <c r="I103" i="6"/>
  <c r="H103" i="6"/>
  <c r="F103" i="6"/>
  <c r="K102" i="6"/>
  <c r="F102" i="6"/>
  <c r="K101" i="6"/>
  <c r="F101" i="6"/>
  <c r="K100" i="6"/>
  <c r="F100" i="6"/>
  <c r="L99" i="6"/>
  <c r="K99" i="6"/>
  <c r="J99" i="6"/>
  <c r="I99" i="6"/>
  <c r="H99" i="6"/>
  <c r="G99" i="6"/>
  <c r="L98" i="6"/>
  <c r="K98" i="6"/>
  <c r="J98" i="6"/>
  <c r="W98" i="6" s="1"/>
  <c r="I98" i="6"/>
  <c r="H98" i="6"/>
  <c r="G98" i="6"/>
  <c r="L97" i="6"/>
  <c r="K97" i="6"/>
  <c r="J97" i="6"/>
  <c r="I97" i="6"/>
  <c r="H97" i="6"/>
  <c r="G97" i="6"/>
  <c r="L96" i="6"/>
  <c r="K96" i="6"/>
  <c r="W96" i="6"/>
  <c r="J96" i="6"/>
  <c r="I96" i="6"/>
  <c r="H96" i="6"/>
  <c r="G96" i="6"/>
  <c r="D95" i="6"/>
  <c r="V94" i="6"/>
  <c r="L102" i="6" s="1"/>
  <c r="T94" i="6"/>
  <c r="L101" i="6" s="1"/>
  <c r="R94" i="6"/>
  <c r="L100" i="6" s="1"/>
  <c r="U94" i="6"/>
  <c r="J102" i="6" s="1"/>
  <c r="S94" i="6"/>
  <c r="J101" i="6" s="1"/>
  <c r="Q94" i="6"/>
  <c r="J100" i="6" s="1"/>
  <c r="F94" i="6"/>
  <c r="E94" i="6"/>
  <c r="C94" i="6"/>
  <c r="B94" i="6"/>
  <c r="AA93" i="6"/>
  <c r="Z93" i="6"/>
  <c r="X93" i="6"/>
  <c r="J92" i="6"/>
  <c r="I92" i="6"/>
  <c r="H92" i="6"/>
  <c r="F92" i="6"/>
  <c r="K91" i="6"/>
  <c r="F91" i="6"/>
  <c r="K90" i="6"/>
  <c r="F90" i="6"/>
  <c r="K89" i="6"/>
  <c r="F89" i="6"/>
  <c r="L88" i="6"/>
  <c r="K88" i="6"/>
  <c r="J88" i="6"/>
  <c r="I88" i="6"/>
  <c r="H88" i="6"/>
  <c r="G88" i="6"/>
  <c r="L87" i="6"/>
  <c r="K87" i="6"/>
  <c r="W87" i="6"/>
  <c r="J87" i="6"/>
  <c r="I87" i="6"/>
  <c r="H87" i="6"/>
  <c r="G87" i="6"/>
  <c r="L86" i="6"/>
  <c r="K86" i="6"/>
  <c r="J86" i="6"/>
  <c r="I86" i="6"/>
  <c r="H86" i="6"/>
  <c r="G86" i="6"/>
  <c r="L85" i="6"/>
  <c r="K85" i="6"/>
  <c r="J85" i="6"/>
  <c r="I85" i="6"/>
  <c r="H85" i="6"/>
  <c r="G85" i="6"/>
  <c r="D84" i="6"/>
  <c r="V83" i="6"/>
  <c r="L91" i="6" s="1"/>
  <c r="T83" i="6"/>
  <c r="L90" i="6" s="1"/>
  <c r="R83" i="6"/>
  <c r="L89" i="6" s="1"/>
  <c r="U83" i="6"/>
  <c r="J91" i="6" s="1"/>
  <c r="S83" i="6"/>
  <c r="J90" i="6" s="1"/>
  <c r="Q83" i="6"/>
  <c r="J89" i="6" s="1"/>
  <c r="F83" i="6"/>
  <c r="E83" i="6"/>
  <c r="C83" i="6"/>
  <c r="B83" i="6"/>
  <c r="AA82" i="6"/>
  <c r="Z82" i="6"/>
  <c r="X82" i="6"/>
  <c r="J81" i="6"/>
  <c r="I81" i="6"/>
  <c r="H81" i="6"/>
  <c r="F81" i="6"/>
  <c r="K80" i="6"/>
  <c r="F80" i="6"/>
  <c r="K79" i="6"/>
  <c r="F79" i="6"/>
  <c r="K78" i="6"/>
  <c r="F78" i="6"/>
  <c r="L77" i="6"/>
  <c r="K77" i="6"/>
  <c r="J77" i="6"/>
  <c r="I77" i="6"/>
  <c r="H77" i="6"/>
  <c r="G77" i="6"/>
  <c r="L76" i="6"/>
  <c r="K76" i="6"/>
  <c r="J76" i="6"/>
  <c r="W76" i="6" s="1"/>
  <c r="I76" i="6"/>
  <c r="H76" i="6"/>
  <c r="G76" i="6"/>
  <c r="L75" i="6"/>
  <c r="K75" i="6"/>
  <c r="J75" i="6"/>
  <c r="I75" i="6"/>
  <c r="H75" i="6"/>
  <c r="G75" i="6"/>
  <c r="L74" i="6"/>
  <c r="K74" i="6"/>
  <c r="W74" i="6"/>
  <c r="J74" i="6"/>
  <c r="I74" i="6"/>
  <c r="H74" i="6"/>
  <c r="G74" i="6"/>
  <c r="D73" i="6"/>
  <c r="V72" i="6"/>
  <c r="L80" i="6" s="1"/>
  <c r="T72" i="6"/>
  <c r="L79" i="6" s="1"/>
  <c r="R72" i="6"/>
  <c r="L78" i="6" s="1"/>
  <c r="U72" i="6"/>
  <c r="J80" i="6" s="1"/>
  <c r="S72" i="6"/>
  <c r="J79" i="6" s="1"/>
  <c r="Q72" i="6"/>
  <c r="J78" i="6" s="1"/>
  <c r="F72" i="6"/>
  <c r="E72" i="6"/>
  <c r="C72" i="6"/>
  <c r="B72" i="6"/>
  <c r="AA71" i="6"/>
  <c r="Z71" i="6"/>
  <c r="X71" i="6"/>
  <c r="J70" i="6"/>
  <c r="I70" i="6"/>
  <c r="H70" i="6"/>
  <c r="F70" i="6"/>
  <c r="K69" i="6"/>
  <c r="F69" i="6"/>
  <c r="K68" i="6"/>
  <c r="F68" i="6"/>
  <c r="K67" i="6"/>
  <c r="F67" i="6"/>
  <c r="L66" i="6"/>
  <c r="K66" i="6"/>
  <c r="W66" i="6"/>
  <c r="J66" i="6"/>
  <c r="I66" i="6"/>
  <c r="H66" i="6"/>
  <c r="G66" i="6"/>
  <c r="L65" i="6"/>
  <c r="K65" i="6"/>
  <c r="J65" i="6"/>
  <c r="I65" i="6"/>
  <c r="H65" i="6"/>
  <c r="G65" i="6"/>
  <c r="L64" i="6"/>
  <c r="K64" i="6"/>
  <c r="J64" i="6"/>
  <c r="I64" i="6"/>
  <c r="H64" i="6"/>
  <c r="G64" i="6"/>
  <c r="V63" i="6"/>
  <c r="L69" i="6" s="1"/>
  <c r="T63" i="6"/>
  <c r="L68" i="6" s="1"/>
  <c r="R63" i="6"/>
  <c r="L67" i="6" s="1"/>
  <c r="U63" i="6"/>
  <c r="J69" i="6" s="1"/>
  <c r="S63" i="6"/>
  <c r="J68" i="6" s="1"/>
  <c r="Q63" i="6"/>
  <c r="J67" i="6" s="1"/>
  <c r="F63" i="6"/>
  <c r="E63" i="6"/>
  <c r="C63" i="6"/>
  <c r="B63" i="6"/>
  <c r="AA62" i="6"/>
  <c r="Z62" i="6"/>
  <c r="X62" i="6"/>
  <c r="J61" i="6"/>
  <c r="I61" i="6"/>
  <c r="H61" i="6"/>
  <c r="F61" i="6"/>
  <c r="K60" i="6"/>
  <c r="F60" i="6"/>
  <c r="K59" i="6"/>
  <c r="F59" i="6"/>
  <c r="K58" i="6"/>
  <c r="F58" i="6"/>
  <c r="L57" i="6"/>
  <c r="K57" i="6"/>
  <c r="J57" i="6"/>
  <c r="I57" i="6"/>
  <c r="H57" i="6"/>
  <c r="G57" i="6"/>
  <c r="L56" i="6"/>
  <c r="K56" i="6"/>
  <c r="W56" i="6"/>
  <c r="J56" i="6"/>
  <c r="I56" i="6"/>
  <c r="H56" i="6"/>
  <c r="G56" i="6"/>
  <c r="L55" i="6"/>
  <c r="K55" i="6"/>
  <c r="J55" i="6"/>
  <c r="I55" i="6"/>
  <c r="H55" i="6"/>
  <c r="G55" i="6"/>
  <c r="L54" i="6"/>
  <c r="K54" i="6"/>
  <c r="J54" i="6"/>
  <c r="I54" i="6"/>
  <c r="H54" i="6"/>
  <c r="G54" i="6"/>
  <c r="V53" i="6"/>
  <c r="L60" i="6" s="1"/>
  <c r="T53" i="6"/>
  <c r="L59" i="6" s="1"/>
  <c r="R53" i="6"/>
  <c r="L58" i="6" s="1"/>
  <c r="U53" i="6"/>
  <c r="J60" i="6" s="1"/>
  <c r="S53" i="6"/>
  <c r="J59" i="6" s="1"/>
  <c r="Q53" i="6"/>
  <c r="J58" i="6" s="1"/>
  <c r="F53" i="6"/>
  <c r="E53" i="6"/>
  <c r="C53" i="6"/>
  <c r="B53" i="6"/>
  <c r="AA52" i="6"/>
  <c r="Z52" i="6"/>
  <c r="X52" i="6"/>
  <c r="J51" i="6"/>
  <c r="I51" i="6"/>
  <c r="H51" i="6"/>
  <c r="F51" i="6"/>
  <c r="K50" i="6"/>
  <c r="F50" i="6"/>
  <c r="K49" i="6"/>
  <c r="F49" i="6"/>
  <c r="K48" i="6"/>
  <c r="F48" i="6"/>
  <c r="L47" i="6"/>
  <c r="K47" i="6"/>
  <c r="J47" i="6"/>
  <c r="I47" i="6"/>
  <c r="H47" i="6"/>
  <c r="G47" i="6"/>
  <c r="L46" i="6"/>
  <c r="K46" i="6"/>
  <c r="W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V43" i="6"/>
  <c r="L50" i="6" s="1"/>
  <c r="T43" i="6"/>
  <c r="L49" i="6" s="1"/>
  <c r="R43" i="6"/>
  <c r="L48" i="6" s="1"/>
  <c r="U43" i="6"/>
  <c r="J50" i="6" s="1"/>
  <c r="S43" i="6"/>
  <c r="J49" i="6" s="1"/>
  <c r="Q43" i="6"/>
  <c r="J48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72" i="5"/>
  <c r="H269" i="5"/>
  <c r="C272" i="5"/>
  <c r="C269" i="5"/>
  <c r="J266" i="5"/>
  <c r="C266" i="5"/>
  <c r="J265" i="5"/>
  <c r="C265" i="5"/>
  <c r="J264" i="5"/>
  <c r="C264" i="5"/>
  <c r="J28" i="5"/>
  <c r="J26" i="5"/>
  <c r="J25" i="5"/>
  <c r="J24" i="5"/>
  <c r="J23" i="5"/>
  <c r="J22" i="5"/>
  <c r="J21" i="5"/>
  <c r="I28" i="5"/>
  <c r="H263" i="5"/>
  <c r="J263" i="5"/>
  <c r="H262" i="5"/>
  <c r="J262" i="5"/>
  <c r="H259" i="5"/>
  <c r="J259" i="5"/>
  <c r="H258" i="5"/>
  <c r="J258" i="5"/>
  <c r="AL257" i="5"/>
  <c r="A257" i="5"/>
  <c r="H255" i="5"/>
  <c r="J255" i="5"/>
  <c r="H254" i="5"/>
  <c r="J254" i="5"/>
  <c r="AL253" i="5"/>
  <c r="A253" i="5"/>
  <c r="Z251" i="5"/>
  <c r="Y251" i="5"/>
  <c r="X251" i="5"/>
  <c r="K250" i="5"/>
  <c r="P251" i="5" s="1"/>
  <c r="J250" i="5"/>
  <c r="I250" i="5"/>
  <c r="AA251" i="5" s="1"/>
  <c r="H250" i="5"/>
  <c r="G250" i="5"/>
  <c r="F250" i="5"/>
  <c r="V250" i="5"/>
  <c r="T250" i="5"/>
  <c r="R250" i="5"/>
  <c r="U250" i="5"/>
  <c r="S250" i="5"/>
  <c r="Q250" i="5"/>
  <c r="E250" i="5"/>
  <c r="D250" i="5"/>
  <c r="B250" i="5"/>
  <c r="A250" i="5"/>
  <c r="AA249" i="5"/>
  <c r="Z249" i="5"/>
  <c r="X249" i="5"/>
  <c r="J249" i="5"/>
  <c r="K248" i="5"/>
  <c r="P249" i="5" s="1"/>
  <c r="J248" i="5"/>
  <c r="I248" i="5"/>
  <c r="Y249" i="5" s="1"/>
  <c r="H248" i="5"/>
  <c r="G248" i="5"/>
  <c r="F248" i="5"/>
  <c r="V248" i="5"/>
  <c r="T248" i="5"/>
  <c r="R248" i="5"/>
  <c r="U248" i="5"/>
  <c r="S248" i="5"/>
  <c r="Q248" i="5"/>
  <c r="E248" i="5"/>
  <c r="D248" i="5"/>
  <c r="B248" i="5"/>
  <c r="A248" i="5"/>
  <c r="AA247" i="5"/>
  <c r="Z247" i="5"/>
  <c r="X247" i="5"/>
  <c r="J247" i="5"/>
  <c r="K246" i="5"/>
  <c r="P247" i="5" s="1"/>
  <c r="J246" i="5"/>
  <c r="I246" i="5"/>
  <c r="Y247" i="5" s="1"/>
  <c r="H246" i="5"/>
  <c r="G246" i="5"/>
  <c r="F246" i="5"/>
  <c r="V246" i="5"/>
  <c r="T246" i="5"/>
  <c r="R246" i="5"/>
  <c r="U246" i="5"/>
  <c r="S246" i="5"/>
  <c r="Q246" i="5"/>
  <c r="E246" i="5"/>
  <c r="D246" i="5"/>
  <c r="B246" i="5"/>
  <c r="A246" i="5"/>
  <c r="AA245" i="5"/>
  <c r="Z245" i="5"/>
  <c r="X245" i="5"/>
  <c r="J245" i="5"/>
  <c r="K244" i="5"/>
  <c r="P245" i="5" s="1"/>
  <c r="J244" i="5"/>
  <c r="I244" i="5"/>
  <c r="Y245" i="5" s="1"/>
  <c r="H244" i="5"/>
  <c r="G244" i="5"/>
  <c r="F244" i="5"/>
  <c r="V244" i="5"/>
  <c r="T244" i="5"/>
  <c r="R244" i="5"/>
  <c r="U244" i="5"/>
  <c r="S244" i="5"/>
  <c r="Q244" i="5"/>
  <c r="E244" i="5"/>
  <c r="D244" i="5"/>
  <c r="B244" i="5"/>
  <c r="A244" i="5"/>
  <c r="AA243" i="5"/>
  <c r="Z243" i="5"/>
  <c r="X243" i="5"/>
  <c r="C242" i="5"/>
  <c r="K241" i="5"/>
  <c r="P243" i="5" s="1"/>
  <c r="J241" i="5"/>
  <c r="I241" i="5"/>
  <c r="H243" i="5" s="1"/>
  <c r="H241" i="5"/>
  <c r="G241" i="5"/>
  <c r="F241" i="5"/>
  <c r="V241" i="5"/>
  <c r="T241" i="5"/>
  <c r="R241" i="5"/>
  <c r="U241" i="5"/>
  <c r="S241" i="5"/>
  <c r="Q241" i="5"/>
  <c r="E241" i="5"/>
  <c r="D241" i="5"/>
  <c r="B241" i="5"/>
  <c r="A241" i="5"/>
  <c r="AA240" i="5"/>
  <c r="Z240" i="5"/>
  <c r="X240" i="5"/>
  <c r="C239" i="5"/>
  <c r="K238" i="5"/>
  <c r="J240" i="5" s="1"/>
  <c r="J238" i="5"/>
  <c r="I238" i="5"/>
  <c r="H240" i="5" s="1"/>
  <c r="H238" i="5"/>
  <c r="G238" i="5"/>
  <c r="F238" i="5"/>
  <c r="V238" i="5"/>
  <c r="T238" i="5"/>
  <c r="R238" i="5"/>
  <c r="U238" i="5"/>
  <c r="S238" i="5"/>
  <c r="Q238" i="5"/>
  <c r="E238" i="5"/>
  <c r="D238" i="5"/>
  <c r="B238" i="5"/>
  <c r="A238" i="5"/>
  <c r="AA237" i="5"/>
  <c r="Z237" i="5"/>
  <c r="X237" i="5"/>
  <c r="C236" i="5"/>
  <c r="K235" i="5"/>
  <c r="P237" i="5" s="1"/>
  <c r="J235" i="5"/>
  <c r="I235" i="5"/>
  <c r="H235" i="5"/>
  <c r="G235" i="5"/>
  <c r="F235" i="5"/>
  <c r="V235" i="5"/>
  <c r="T235" i="5"/>
  <c r="R235" i="5"/>
  <c r="U235" i="5"/>
  <c r="S235" i="5"/>
  <c r="Q235" i="5"/>
  <c r="E235" i="5"/>
  <c r="D235" i="5"/>
  <c r="B235" i="5"/>
  <c r="A235" i="5"/>
  <c r="A234" i="5"/>
  <c r="H232" i="5"/>
  <c r="J232" i="5"/>
  <c r="H231" i="5"/>
  <c r="J231" i="5"/>
  <c r="A230" i="5"/>
  <c r="Z228" i="5"/>
  <c r="Y228" i="5"/>
  <c r="X228" i="5"/>
  <c r="I227" i="5"/>
  <c r="H227" i="5"/>
  <c r="G227" i="5"/>
  <c r="E227" i="5"/>
  <c r="J226" i="5"/>
  <c r="E226" i="5"/>
  <c r="J225" i="5"/>
  <c r="E225" i="5"/>
  <c r="K224" i="5"/>
  <c r="J224" i="5"/>
  <c r="I224" i="5"/>
  <c r="W224" i="5" s="1"/>
  <c r="H224" i="5"/>
  <c r="G224" i="5"/>
  <c r="F224" i="5"/>
  <c r="V223" i="5"/>
  <c r="T223" i="5"/>
  <c r="K226" i="5" s="1"/>
  <c r="R223" i="5"/>
  <c r="K225" i="5" s="1"/>
  <c r="U223" i="5"/>
  <c r="S223" i="5"/>
  <c r="I226" i="5" s="1"/>
  <c r="Q223" i="5"/>
  <c r="I225" i="5" s="1"/>
  <c r="E223" i="5"/>
  <c r="D223" i="5"/>
  <c r="B223" i="5"/>
  <c r="A223" i="5"/>
  <c r="Z222" i="5"/>
  <c r="Y222" i="5"/>
  <c r="X222" i="5"/>
  <c r="I221" i="5"/>
  <c r="H221" i="5"/>
  <c r="G221" i="5"/>
  <c r="E221" i="5"/>
  <c r="J220" i="5"/>
  <c r="E220" i="5"/>
  <c r="J219" i="5"/>
  <c r="E219" i="5"/>
  <c r="K218" i="5"/>
  <c r="J218" i="5"/>
  <c r="I218" i="5"/>
  <c r="H218" i="5"/>
  <c r="G218" i="5"/>
  <c r="F218" i="5"/>
  <c r="V217" i="5"/>
  <c r="T217" i="5"/>
  <c r="K220" i="5" s="1"/>
  <c r="J222" i="5" s="1"/>
  <c r="R217" i="5"/>
  <c r="K219" i="5" s="1"/>
  <c r="U217" i="5"/>
  <c r="S217" i="5"/>
  <c r="I220" i="5" s="1"/>
  <c r="Q217" i="5"/>
  <c r="I219" i="5" s="1"/>
  <c r="E217" i="5"/>
  <c r="D217" i="5"/>
  <c r="B217" i="5"/>
  <c r="A217" i="5"/>
  <c r="Z216" i="5"/>
  <c r="Y216" i="5"/>
  <c r="X216" i="5"/>
  <c r="I215" i="5"/>
  <c r="H215" i="5"/>
  <c r="G215" i="5"/>
  <c r="E215" i="5"/>
  <c r="J214" i="5"/>
  <c r="E214" i="5"/>
  <c r="J213" i="5"/>
  <c r="E213" i="5"/>
  <c r="K212" i="5"/>
  <c r="J212" i="5"/>
  <c r="W212" i="5"/>
  <c r="I212" i="5"/>
  <c r="H212" i="5"/>
  <c r="G212" i="5"/>
  <c r="F212" i="5"/>
  <c r="V211" i="5"/>
  <c r="T211" i="5"/>
  <c r="K214" i="5" s="1"/>
  <c r="R211" i="5"/>
  <c r="K213" i="5" s="1"/>
  <c r="U211" i="5"/>
  <c r="S211" i="5"/>
  <c r="I214" i="5" s="1"/>
  <c r="Q211" i="5"/>
  <c r="I213" i="5" s="1"/>
  <c r="E211" i="5"/>
  <c r="D211" i="5"/>
  <c r="B211" i="5"/>
  <c r="A211" i="5"/>
  <c r="Z210" i="5"/>
  <c r="Y210" i="5"/>
  <c r="X210" i="5"/>
  <c r="I209" i="5"/>
  <c r="H209" i="5"/>
  <c r="G209" i="5"/>
  <c r="E209" i="5"/>
  <c r="J208" i="5"/>
  <c r="E208" i="5"/>
  <c r="J207" i="5"/>
  <c r="E207" i="5"/>
  <c r="K206" i="5"/>
  <c r="J206" i="5"/>
  <c r="I206" i="5"/>
  <c r="H206" i="5"/>
  <c r="G206" i="5"/>
  <c r="F206" i="5"/>
  <c r="V205" i="5"/>
  <c r="T205" i="5"/>
  <c r="K208" i="5" s="1"/>
  <c r="R205" i="5"/>
  <c r="K207" i="5" s="1"/>
  <c r="U205" i="5"/>
  <c r="S205" i="5"/>
  <c r="I208" i="5" s="1"/>
  <c r="Q205" i="5"/>
  <c r="I207" i="5" s="1"/>
  <c r="E205" i="5"/>
  <c r="D205" i="5"/>
  <c r="B205" i="5"/>
  <c r="A205" i="5"/>
  <c r="Z204" i="5"/>
  <c r="Y204" i="5"/>
  <c r="X204" i="5"/>
  <c r="I203" i="5"/>
  <c r="H203" i="5"/>
  <c r="G203" i="5"/>
  <c r="E203" i="5"/>
  <c r="J202" i="5"/>
  <c r="E202" i="5"/>
  <c r="J201" i="5"/>
  <c r="E201" i="5"/>
  <c r="K200" i="5"/>
  <c r="J200" i="5"/>
  <c r="I200" i="5"/>
  <c r="W200" i="5" s="1"/>
  <c r="H200" i="5"/>
  <c r="G200" i="5"/>
  <c r="F200" i="5"/>
  <c r="V199" i="5"/>
  <c r="T199" i="5"/>
  <c r="K202" i="5" s="1"/>
  <c r="R199" i="5"/>
  <c r="K201" i="5" s="1"/>
  <c r="U199" i="5"/>
  <c r="S199" i="5"/>
  <c r="I202" i="5" s="1"/>
  <c r="Q199" i="5"/>
  <c r="I201" i="5" s="1"/>
  <c r="E199" i="5"/>
  <c r="D199" i="5"/>
  <c r="B199" i="5"/>
  <c r="A199" i="5"/>
  <c r="Z198" i="5"/>
  <c r="Y198" i="5"/>
  <c r="X198" i="5"/>
  <c r="I197" i="5"/>
  <c r="H197" i="5"/>
  <c r="G197" i="5"/>
  <c r="E197" i="5"/>
  <c r="J196" i="5"/>
  <c r="E196" i="5"/>
  <c r="J195" i="5"/>
  <c r="E195" i="5"/>
  <c r="K194" i="5"/>
  <c r="J194" i="5"/>
  <c r="I194" i="5"/>
  <c r="H194" i="5"/>
  <c r="G194" i="5"/>
  <c r="F194" i="5"/>
  <c r="V193" i="5"/>
  <c r="T193" i="5"/>
  <c r="K196" i="5" s="1"/>
  <c r="J198" i="5" s="1"/>
  <c r="R193" i="5"/>
  <c r="K195" i="5" s="1"/>
  <c r="U193" i="5"/>
  <c r="S193" i="5"/>
  <c r="I196" i="5" s="1"/>
  <c r="Q193" i="5"/>
  <c r="I195" i="5" s="1"/>
  <c r="E193" i="5"/>
  <c r="D193" i="5"/>
  <c r="B193" i="5"/>
  <c r="A193" i="5"/>
  <c r="Z192" i="5"/>
  <c r="Y192" i="5"/>
  <c r="X192" i="5"/>
  <c r="I191" i="5"/>
  <c r="H191" i="5"/>
  <c r="G191" i="5"/>
  <c r="E191" i="5"/>
  <c r="J190" i="5"/>
  <c r="E190" i="5"/>
  <c r="J189" i="5"/>
  <c r="E189" i="5"/>
  <c r="K188" i="5"/>
  <c r="J188" i="5"/>
  <c r="W188" i="5"/>
  <c r="I188" i="5"/>
  <c r="H188" i="5"/>
  <c r="G188" i="5"/>
  <c r="F188" i="5"/>
  <c r="V187" i="5"/>
  <c r="T187" i="5"/>
  <c r="K190" i="5" s="1"/>
  <c r="R187" i="5"/>
  <c r="K189" i="5" s="1"/>
  <c r="U187" i="5"/>
  <c r="S187" i="5"/>
  <c r="I190" i="5" s="1"/>
  <c r="Q187" i="5"/>
  <c r="I189" i="5" s="1"/>
  <c r="E187" i="5"/>
  <c r="D187" i="5"/>
  <c r="B187" i="5"/>
  <c r="A187" i="5"/>
  <c r="Z186" i="5"/>
  <c r="Y186" i="5"/>
  <c r="X186" i="5"/>
  <c r="I185" i="5"/>
  <c r="H185" i="5"/>
  <c r="G185" i="5"/>
  <c r="E185" i="5"/>
  <c r="J184" i="5"/>
  <c r="E184" i="5"/>
  <c r="J183" i="5"/>
  <c r="E183" i="5"/>
  <c r="K182" i="5"/>
  <c r="J182" i="5"/>
  <c r="I182" i="5"/>
  <c r="H182" i="5"/>
  <c r="G182" i="5"/>
  <c r="F182" i="5"/>
  <c r="V181" i="5"/>
  <c r="T181" i="5"/>
  <c r="K184" i="5" s="1"/>
  <c r="R181" i="5"/>
  <c r="K183" i="5" s="1"/>
  <c r="U181" i="5"/>
  <c r="S181" i="5"/>
  <c r="I184" i="5" s="1"/>
  <c r="Q181" i="5"/>
  <c r="I183" i="5" s="1"/>
  <c r="E181" i="5"/>
  <c r="D181" i="5"/>
  <c r="B181" i="5"/>
  <c r="A181" i="5"/>
  <c r="Z180" i="5"/>
  <c r="Y180" i="5"/>
  <c r="X180" i="5"/>
  <c r="I179" i="5"/>
  <c r="H179" i="5"/>
  <c r="G179" i="5"/>
  <c r="E179" i="5"/>
  <c r="J178" i="5"/>
  <c r="E178" i="5"/>
  <c r="J177" i="5"/>
  <c r="E177" i="5"/>
  <c r="K176" i="5"/>
  <c r="J176" i="5"/>
  <c r="I176" i="5"/>
  <c r="W176" i="5" s="1"/>
  <c r="H176" i="5"/>
  <c r="G176" i="5"/>
  <c r="F176" i="5"/>
  <c r="V175" i="5"/>
  <c r="T175" i="5"/>
  <c r="K178" i="5" s="1"/>
  <c r="R175" i="5"/>
  <c r="K177" i="5" s="1"/>
  <c r="U175" i="5"/>
  <c r="S175" i="5"/>
  <c r="I178" i="5" s="1"/>
  <c r="Q175" i="5"/>
  <c r="I177" i="5" s="1"/>
  <c r="E175" i="5"/>
  <c r="D175" i="5"/>
  <c r="B175" i="5"/>
  <c r="A175" i="5"/>
  <c r="Z174" i="5"/>
  <c r="Y174" i="5"/>
  <c r="X174" i="5"/>
  <c r="I173" i="5"/>
  <c r="H173" i="5"/>
  <c r="G173" i="5"/>
  <c r="E173" i="5"/>
  <c r="J172" i="5"/>
  <c r="E172" i="5"/>
  <c r="J171" i="5"/>
  <c r="E171" i="5"/>
  <c r="K170" i="5"/>
  <c r="J170" i="5"/>
  <c r="I170" i="5"/>
  <c r="H170" i="5"/>
  <c r="G170" i="5"/>
  <c r="F170" i="5"/>
  <c r="V169" i="5"/>
  <c r="T169" i="5"/>
  <c r="K172" i="5" s="1"/>
  <c r="J174" i="5" s="1"/>
  <c r="R169" i="5"/>
  <c r="K171" i="5" s="1"/>
  <c r="U169" i="5"/>
  <c r="S169" i="5"/>
  <c r="I172" i="5" s="1"/>
  <c r="Q169" i="5"/>
  <c r="I171" i="5" s="1"/>
  <c r="E169" i="5"/>
  <c r="D169" i="5"/>
  <c r="B169" i="5"/>
  <c r="A169" i="5"/>
  <c r="Z168" i="5"/>
  <c r="Y168" i="5"/>
  <c r="X168" i="5"/>
  <c r="I167" i="5"/>
  <c r="H167" i="5"/>
  <c r="G167" i="5"/>
  <c r="E167" i="5"/>
  <c r="J166" i="5"/>
  <c r="E166" i="5"/>
  <c r="J165" i="5"/>
  <c r="E165" i="5"/>
  <c r="K164" i="5"/>
  <c r="J164" i="5"/>
  <c r="W164" i="5"/>
  <c r="I164" i="5"/>
  <c r="H164" i="5"/>
  <c r="G164" i="5"/>
  <c r="F164" i="5"/>
  <c r="V163" i="5"/>
  <c r="T163" i="5"/>
  <c r="K166" i="5" s="1"/>
  <c r="R163" i="5"/>
  <c r="K165" i="5" s="1"/>
  <c r="U163" i="5"/>
  <c r="S163" i="5"/>
  <c r="I166" i="5" s="1"/>
  <c r="Q163" i="5"/>
  <c r="I165" i="5" s="1"/>
  <c r="E163" i="5"/>
  <c r="D163" i="5"/>
  <c r="B163" i="5"/>
  <c r="A163" i="5"/>
  <c r="A162" i="5"/>
  <c r="H160" i="5"/>
  <c r="J160" i="5"/>
  <c r="H159" i="5"/>
  <c r="J159" i="5"/>
  <c r="A158" i="5"/>
  <c r="AA156" i="5"/>
  <c r="Z156" i="5"/>
  <c r="X156" i="5"/>
  <c r="I155" i="5"/>
  <c r="H155" i="5"/>
  <c r="G155" i="5"/>
  <c r="E155" i="5"/>
  <c r="J154" i="5"/>
  <c r="E154" i="5"/>
  <c r="J153" i="5"/>
  <c r="E153" i="5"/>
  <c r="J152" i="5"/>
  <c r="E152" i="5"/>
  <c r="K151" i="5"/>
  <c r="J151" i="5"/>
  <c r="I151" i="5"/>
  <c r="H151" i="5"/>
  <c r="G151" i="5"/>
  <c r="F151" i="5"/>
  <c r="K150" i="5"/>
  <c r="J150" i="5"/>
  <c r="W150" i="5"/>
  <c r="I150" i="5"/>
  <c r="H150" i="5"/>
  <c r="G150" i="5"/>
  <c r="F150" i="5"/>
  <c r="K149" i="5"/>
  <c r="J149" i="5"/>
  <c r="I149" i="5"/>
  <c r="H149" i="5"/>
  <c r="G149" i="5"/>
  <c r="F149" i="5"/>
  <c r="K148" i="5"/>
  <c r="J148" i="5"/>
  <c r="I148" i="5"/>
  <c r="H148" i="5"/>
  <c r="G148" i="5"/>
  <c r="F148" i="5"/>
  <c r="V147" i="5"/>
  <c r="K154" i="5" s="1"/>
  <c r="T147" i="5"/>
  <c r="K153" i="5" s="1"/>
  <c r="R147" i="5"/>
  <c r="K152" i="5" s="1"/>
  <c r="U147" i="5"/>
  <c r="I154" i="5" s="1"/>
  <c r="S147" i="5"/>
  <c r="I153" i="5" s="1"/>
  <c r="Q147" i="5"/>
  <c r="I152" i="5" s="1"/>
  <c r="E147" i="5"/>
  <c r="D147" i="5"/>
  <c r="B147" i="5"/>
  <c r="A147" i="5"/>
  <c r="AA146" i="5"/>
  <c r="Z146" i="5"/>
  <c r="X146" i="5"/>
  <c r="I145" i="5"/>
  <c r="H145" i="5"/>
  <c r="G145" i="5"/>
  <c r="E145" i="5"/>
  <c r="J144" i="5"/>
  <c r="E144" i="5"/>
  <c r="J143" i="5"/>
  <c r="E143" i="5"/>
  <c r="J142" i="5"/>
  <c r="E142" i="5"/>
  <c r="K141" i="5"/>
  <c r="J141" i="5"/>
  <c r="I141" i="5"/>
  <c r="H141" i="5"/>
  <c r="G141" i="5"/>
  <c r="F141" i="5"/>
  <c r="K140" i="5"/>
  <c r="J140" i="5"/>
  <c r="I140" i="5"/>
  <c r="W140" i="5" s="1"/>
  <c r="H140" i="5"/>
  <c r="G140" i="5"/>
  <c r="F140" i="5"/>
  <c r="K139" i="5"/>
  <c r="J139" i="5"/>
  <c r="I139" i="5"/>
  <c r="H139" i="5"/>
  <c r="G139" i="5"/>
  <c r="F139" i="5"/>
  <c r="K138" i="5"/>
  <c r="J138" i="5"/>
  <c r="I138" i="5"/>
  <c r="H138" i="5"/>
  <c r="G138" i="5"/>
  <c r="F138" i="5"/>
  <c r="V137" i="5"/>
  <c r="K144" i="5" s="1"/>
  <c r="T137" i="5"/>
  <c r="K143" i="5" s="1"/>
  <c r="R137" i="5"/>
  <c r="K142" i="5" s="1"/>
  <c r="U137" i="5"/>
  <c r="I144" i="5" s="1"/>
  <c r="S137" i="5"/>
  <c r="I143" i="5" s="1"/>
  <c r="Q137" i="5"/>
  <c r="I142" i="5" s="1"/>
  <c r="E137" i="5"/>
  <c r="D137" i="5"/>
  <c r="B137" i="5"/>
  <c r="A137" i="5"/>
  <c r="AA136" i="5"/>
  <c r="Z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H132" i="5"/>
  <c r="G132" i="5"/>
  <c r="F132" i="5"/>
  <c r="K131" i="5"/>
  <c r="J131" i="5"/>
  <c r="I131" i="5"/>
  <c r="W131" i="5" s="1"/>
  <c r="H131" i="5"/>
  <c r="G131" i="5"/>
  <c r="F131" i="5"/>
  <c r="C130" i="5"/>
  <c r="V129" i="5"/>
  <c r="T129" i="5"/>
  <c r="K134" i="5" s="1"/>
  <c r="R129" i="5"/>
  <c r="K133" i="5" s="1"/>
  <c r="U129" i="5"/>
  <c r="S129" i="5"/>
  <c r="I134" i="5" s="1"/>
  <c r="Q129" i="5"/>
  <c r="I133" i="5" s="1"/>
  <c r="E129" i="5"/>
  <c r="D129" i="5"/>
  <c r="B129" i="5"/>
  <c r="A129" i="5"/>
  <c r="AA128" i="5"/>
  <c r="Z128" i="5"/>
  <c r="X128" i="5"/>
  <c r="I127" i="5"/>
  <c r="H127" i="5"/>
  <c r="G127" i="5"/>
  <c r="E127" i="5"/>
  <c r="K126" i="5"/>
  <c r="J126" i="5"/>
  <c r="E126" i="5"/>
  <c r="J125" i="5"/>
  <c r="I125" i="5"/>
  <c r="E125" i="5"/>
  <c r="K124" i="5"/>
  <c r="J124" i="5"/>
  <c r="E124" i="5"/>
  <c r="K123" i="5"/>
  <c r="J123" i="5"/>
  <c r="I123" i="5"/>
  <c r="W123" i="5" s="1"/>
  <c r="H123" i="5"/>
  <c r="G123" i="5"/>
  <c r="F123" i="5"/>
  <c r="K122" i="5"/>
  <c r="J122" i="5"/>
  <c r="I122" i="5"/>
  <c r="H122" i="5"/>
  <c r="G122" i="5"/>
  <c r="F122" i="5"/>
  <c r="K121" i="5"/>
  <c r="J121" i="5"/>
  <c r="I121" i="5"/>
  <c r="H121" i="5"/>
  <c r="G121" i="5"/>
  <c r="F121" i="5"/>
  <c r="C120" i="5"/>
  <c r="V119" i="5"/>
  <c r="T119" i="5"/>
  <c r="K125" i="5" s="1"/>
  <c r="R119" i="5"/>
  <c r="U119" i="5"/>
  <c r="I126" i="5" s="1"/>
  <c r="S119" i="5"/>
  <c r="Q119" i="5"/>
  <c r="I124" i="5" s="1"/>
  <c r="E119" i="5"/>
  <c r="D119" i="5"/>
  <c r="B119" i="5"/>
  <c r="A119" i="5"/>
  <c r="AA118" i="5"/>
  <c r="Z118" i="5"/>
  <c r="X118" i="5"/>
  <c r="I117" i="5"/>
  <c r="H117" i="5"/>
  <c r="G117" i="5"/>
  <c r="E117" i="5"/>
  <c r="J116" i="5"/>
  <c r="E116" i="5"/>
  <c r="J115" i="5"/>
  <c r="E115" i="5"/>
  <c r="J114" i="5"/>
  <c r="E114" i="5"/>
  <c r="K113" i="5"/>
  <c r="J113" i="5"/>
  <c r="I113" i="5"/>
  <c r="H113" i="5"/>
  <c r="G113" i="5"/>
  <c r="F113" i="5"/>
  <c r="K112" i="5"/>
  <c r="J112" i="5"/>
  <c r="I112" i="5"/>
  <c r="W112" i="5" s="1"/>
  <c r="H112" i="5"/>
  <c r="G112" i="5"/>
  <c r="F112" i="5"/>
  <c r="K111" i="5"/>
  <c r="J111" i="5"/>
  <c r="I111" i="5"/>
  <c r="H111" i="5"/>
  <c r="G111" i="5"/>
  <c r="F111" i="5"/>
  <c r="K110" i="5"/>
  <c r="J110" i="5"/>
  <c r="W110" i="5"/>
  <c r="I110" i="5"/>
  <c r="H110" i="5"/>
  <c r="G110" i="5"/>
  <c r="F110" i="5"/>
  <c r="C109" i="5"/>
  <c r="V108" i="5"/>
  <c r="K116" i="5" s="1"/>
  <c r="T108" i="5"/>
  <c r="K115" i="5" s="1"/>
  <c r="R108" i="5"/>
  <c r="K114" i="5" s="1"/>
  <c r="U108" i="5"/>
  <c r="I116" i="5" s="1"/>
  <c r="S108" i="5"/>
  <c r="I115" i="5" s="1"/>
  <c r="Q108" i="5"/>
  <c r="I114" i="5" s="1"/>
  <c r="E108" i="5"/>
  <c r="D108" i="5"/>
  <c r="B108" i="5"/>
  <c r="A108" i="5"/>
  <c r="AA107" i="5"/>
  <c r="Z107" i="5"/>
  <c r="X107" i="5"/>
  <c r="I106" i="5"/>
  <c r="H106" i="5"/>
  <c r="G106" i="5"/>
  <c r="E106" i="5"/>
  <c r="J105" i="5"/>
  <c r="E105" i="5"/>
  <c r="J104" i="5"/>
  <c r="E104" i="5"/>
  <c r="J103" i="5"/>
  <c r="E103" i="5"/>
  <c r="K102" i="5"/>
  <c r="J102" i="5"/>
  <c r="W102" i="5"/>
  <c r="I102" i="5"/>
  <c r="H102" i="5"/>
  <c r="G102" i="5"/>
  <c r="F102" i="5"/>
  <c r="K101" i="5"/>
  <c r="J101" i="5"/>
  <c r="I101" i="5"/>
  <c r="H101" i="5"/>
  <c r="G101" i="5"/>
  <c r="F101" i="5"/>
  <c r="K100" i="5"/>
  <c r="J100" i="5"/>
  <c r="I100" i="5"/>
  <c r="H100" i="5"/>
  <c r="G100" i="5"/>
  <c r="F100" i="5"/>
  <c r="C99" i="5"/>
  <c r="V98" i="5"/>
  <c r="K105" i="5" s="1"/>
  <c r="T98" i="5"/>
  <c r="K104" i="5" s="1"/>
  <c r="R98" i="5"/>
  <c r="K103" i="5" s="1"/>
  <c r="U98" i="5"/>
  <c r="I105" i="5" s="1"/>
  <c r="S98" i="5"/>
  <c r="I104" i="5" s="1"/>
  <c r="Q98" i="5"/>
  <c r="I103" i="5" s="1"/>
  <c r="E98" i="5"/>
  <c r="D98" i="5"/>
  <c r="B98" i="5"/>
  <c r="A98" i="5"/>
  <c r="AA97" i="5"/>
  <c r="Z97" i="5"/>
  <c r="X97" i="5"/>
  <c r="I96" i="5"/>
  <c r="H96" i="5"/>
  <c r="G96" i="5"/>
  <c r="E96" i="5"/>
  <c r="J95" i="5"/>
  <c r="E95" i="5"/>
  <c r="J94" i="5"/>
  <c r="E94" i="5"/>
  <c r="J93" i="5"/>
  <c r="E93" i="5"/>
  <c r="K92" i="5"/>
  <c r="J92" i="5"/>
  <c r="I92" i="5"/>
  <c r="H92" i="5"/>
  <c r="G92" i="5"/>
  <c r="F92" i="5"/>
  <c r="K91" i="5"/>
  <c r="J91" i="5"/>
  <c r="I91" i="5"/>
  <c r="W91" i="5" s="1"/>
  <c r="H91" i="5"/>
  <c r="G91" i="5"/>
  <c r="F91" i="5"/>
  <c r="K90" i="5"/>
  <c r="J90" i="5"/>
  <c r="I90" i="5"/>
  <c r="H90" i="5"/>
  <c r="G90" i="5"/>
  <c r="F90" i="5"/>
  <c r="K89" i="5"/>
  <c r="J89" i="5"/>
  <c r="I89" i="5"/>
  <c r="W89" i="5" s="1"/>
  <c r="H89" i="5"/>
  <c r="G89" i="5"/>
  <c r="F89" i="5"/>
  <c r="C88" i="5"/>
  <c r="V87" i="5"/>
  <c r="K95" i="5" s="1"/>
  <c r="T87" i="5"/>
  <c r="K94" i="5" s="1"/>
  <c r="R87" i="5"/>
  <c r="K93" i="5" s="1"/>
  <c r="U87" i="5"/>
  <c r="I95" i="5" s="1"/>
  <c r="S87" i="5"/>
  <c r="I94" i="5" s="1"/>
  <c r="Q87" i="5"/>
  <c r="I93" i="5" s="1"/>
  <c r="E87" i="5"/>
  <c r="D87" i="5"/>
  <c r="B87" i="5"/>
  <c r="A87" i="5"/>
  <c r="AA86" i="5"/>
  <c r="Z86" i="5"/>
  <c r="X86" i="5"/>
  <c r="I85" i="5"/>
  <c r="H85" i="5"/>
  <c r="G85" i="5"/>
  <c r="E85" i="5"/>
  <c r="K84" i="5"/>
  <c r="J84" i="5"/>
  <c r="E84" i="5"/>
  <c r="J83" i="5"/>
  <c r="I83" i="5"/>
  <c r="E83" i="5"/>
  <c r="K82" i="5"/>
  <c r="J82" i="5"/>
  <c r="E82" i="5"/>
  <c r="K81" i="5"/>
  <c r="J81" i="5"/>
  <c r="I81" i="5"/>
  <c r="H81" i="5"/>
  <c r="G81" i="5"/>
  <c r="F81" i="5"/>
  <c r="K80" i="5"/>
  <c r="J80" i="5"/>
  <c r="I80" i="5"/>
  <c r="W80" i="5" s="1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C77" i="5"/>
  <c r="V76" i="5"/>
  <c r="T76" i="5"/>
  <c r="K83" i="5" s="1"/>
  <c r="R76" i="5"/>
  <c r="U76" i="5"/>
  <c r="I84" i="5" s="1"/>
  <c r="S76" i="5"/>
  <c r="Q76" i="5"/>
  <c r="I82" i="5" s="1"/>
  <c r="E76" i="5"/>
  <c r="D76" i="5"/>
  <c r="B76" i="5"/>
  <c r="A76" i="5"/>
  <c r="AA75" i="5"/>
  <c r="Z75" i="5"/>
  <c r="X75" i="5"/>
  <c r="I74" i="5"/>
  <c r="H74" i="5"/>
  <c r="G74" i="5"/>
  <c r="E74" i="5"/>
  <c r="J73" i="5"/>
  <c r="E73" i="5"/>
  <c r="J72" i="5"/>
  <c r="E72" i="5"/>
  <c r="J71" i="5"/>
  <c r="E71" i="5"/>
  <c r="K70" i="5"/>
  <c r="J70" i="5"/>
  <c r="I70" i="5"/>
  <c r="H70" i="5"/>
  <c r="G70" i="5"/>
  <c r="F70" i="5"/>
  <c r="K69" i="5"/>
  <c r="J69" i="5"/>
  <c r="I69" i="5"/>
  <c r="W69" i="5" s="1"/>
  <c r="H69" i="5"/>
  <c r="G69" i="5"/>
  <c r="F69" i="5"/>
  <c r="K68" i="5"/>
  <c r="J68" i="5"/>
  <c r="I68" i="5"/>
  <c r="H68" i="5"/>
  <c r="G68" i="5"/>
  <c r="F68" i="5"/>
  <c r="K67" i="5"/>
  <c r="J67" i="5"/>
  <c r="W67" i="5"/>
  <c r="I67" i="5"/>
  <c r="H67" i="5"/>
  <c r="G67" i="5"/>
  <c r="F67" i="5"/>
  <c r="C66" i="5"/>
  <c r="V65" i="5"/>
  <c r="K73" i="5" s="1"/>
  <c r="T65" i="5"/>
  <c r="K72" i="5" s="1"/>
  <c r="R65" i="5"/>
  <c r="K71" i="5" s="1"/>
  <c r="U65" i="5"/>
  <c r="I73" i="5" s="1"/>
  <c r="S65" i="5"/>
  <c r="I72" i="5" s="1"/>
  <c r="Q65" i="5"/>
  <c r="I71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W59" i="5"/>
  <c r="I59" i="5"/>
  <c r="H59" i="5"/>
  <c r="G59" i="5"/>
  <c r="F59" i="5"/>
  <c r="K58" i="5"/>
  <c r="J58" i="5"/>
  <c r="I58" i="5"/>
  <c r="H58" i="5"/>
  <c r="G58" i="5"/>
  <c r="F58" i="5"/>
  <c r="K57" i="5"/>
  <c r="J57" i="5"/>
  <c r="I57" i="5"/>
  <c r="H57" i="5"/>
  <c r="G57" i="5"/>
  <c r="F57" i="5"/>
  <c r="V56" i="5"/>
  <c r="K62" i="5" s="1"/>
  <c r="T56" i="5"/>
  <c r="K61" i="5" s="1"/>
  <c r="R56" i="5"/>
  <c r="K60" i="5" s="1"/>
  <c r="U56" i="5"/>
  <c r="I62" i="5" s="1"/>
  <c r="S56" i="5"/>
  <c r="I61" i="5" s="1"/>
  <c r="Q56" i="5"/>
  <c r="I60" i="5" s="1"/>
  <c r="E56" i="5"/>
  <c r="D56" i="5"/>
  <c r="B56" i="5"/>
  <c r="A56" i="5"/>
  <c r="AA55" i="5"/>
  <c r="Z55" i="5"/>
  <c r="X55" i="5"/>
  <c r="I54" i="5"/>
  <c r="H54" i="5"/>
  <c r="G54" i="5"/>
  <c r="E54" i="5"/>
  <c r="K53" i="5"/>
  <c r="J53" i="5"/>
  <c r="E53" i="5"/>
  <c r="J52" i="5"/>
  <c r="I52" i="5"/>
  <c r="E52" i="5"/>
  <c r="K51" i="5"/>
  <c r="J51" i="5"/>
  <c r="E51" i="5"/>
  <c r="K50" i="5"/>
  <c r="J50" i="5"/>
  <c r="I50" i="5"/>
  <c r="H50" i="5"/>
  <c r="G50" i="5"/>
  <c r="F50" i="5"/>
  <c r="K49" i="5"/>
  <c r="J49" i="5"/>
  <c r="W49" i="5"/>
  <c r="I49" i="5"/>
  <c r="H49" i="5"/>
  <c r="G49" i="5"/>
  <c r="F49" i="5"/>
  <c r="K48" i="5"/>
  <c r="J48" i="5"/>
  <c r="I48" i="5"/>
  <c r="H48" i="5"/>
  <c r="G48" i="5"/>
  <c r="F48" i="5"/>
  <c r="K47" i="5"/>
  <c r="J47" i="5"/>
  <c r="I47" i="5"/>
  <c r="H47" i="5"/>
  <c r="G47" i="5"/>
  <c r="F47" i="5"/>
  <c r="V46" i="5"/>
  <c r="T46" i="5"/>
  <c r="K52" i="5" s="1"/>
  <c r="R46" i="5"/>
  <c r="U46" i="5"/>
  <c r="I53" i="5" s="1"/>
  <c r="S46" i="5"/>
  <c r="Q46" i="5"/>
  <c r="I51" i="5" s="1"/>
  <c r="E46" i="5"/>
  <c r="D46" i="5"/>
  <c r="B46" i="5"/>
  <c r="A46" i="5"/>
  <c r="AA45" i="5"/>
  <c r="Z45" i="5"/>
  <c r="X45" i="5"/>
  <c r="I44" i="5"/>
  <c r="H44" i="5"/>
  <c r="G44" i="5"/>
  <c r="E44" i="5"/>
  <c r="J43" i="5"/>
  <c r="E43" i="5"/>
  <c r="J42" i="5"/>
  <c r="E42" i="5"/>
  <c r="J41" i="5"/>
  <c r="E41" i="5"/>
  <c r="K40" i="5"/>
  <c r="J40" i="5"/>
  <c r="I40" i="5"/>
  <c r="H40" i="5"/>
  <c r="G40" i="5"/>
  <c r="F40" i="5"/>
  <c r="K39" i="5"/>
  <c r="J39" i="5"/>
  <c r="I39" i="5"/>
  <c r="W39" i="5" s="1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K43" i="5" s="1"/>
  <c r="T36" i="5"/>
  <c r="K42" i="5" s="1"/>
  <c r="R36" i="5"/>
  <c r="K41" i="5" s="1"/>
  <c r="U36" i="5"/>
  <c r="I43" i="5" s="1"/>
  <c r="S36" i="5"/>
  <c r="I42" i="5" s="1"/>
  <c r="Q36" i="5"/>
  <c r="I41" i="5" s="1"/>
  <c r="E36" i="5"/>
  <c r="D36" i="5"/>
  <c r="B36" i="5"/>
  <c r="A36" i="5"/>
  <c r="A35" i="5"/>
  <c r="A33" i="5"/>
  <c r="A19" i="5"/>
  <c r="A16" i="5"/>
  <c r="AK11" i="5"/>
  <c r="G6" i="5"/>
  <c r="B6" i="5"/>
  <c r="A1" i="5"/>
  <c r="Y55" i="5" l="1"/>
  <c r="P64" i="5"/>
  <c r="P86" i="5"/>
  <c r="P146" i="5"/>
  <c r="P180" i="5"/>
  <c r="J186" i="5"/>
  <c r="P204" i="5"/>
  <c r="J210" i="5"/>
  <c r="P228" i="5"/>
  <c r="O240" i="5"/>
  <c r="Y240" i="5"/>
  <c r="H247" i="5"/>
  <c r="H251" i="5"/>
  <c r="P45" i="5"/>
  <c r="P55" i="5"/>
  <c r="P168" i="5"/>
  <c r="P192" i="5"/>
  <c r="P216" i="5"/>
  <c r="P240" i="5"/>
  <c r="J253" i="5" s="1"/>
  <c r="H245" i="5"/>
  <c r="H249" i="5"/>
  <c r="J251" i="5"/>
  <c r="I82" i="6"/>
  <c r="I104" i="6"/>
  <c r="I125" i="6"/>
  <c r="Y52" i="6"/>
  <c r="P52" i="6"/>
  <c r="Y62" i="6"/>
  <c r="P62" i="6"/>
  <c r="Y71" i="6"/>
  <c r="P71" i="6"/>
  <c r="K82" i="6"/>
  <c r="Y93" i="6"/>
  <c r="P93" i="6"/>
  <c r="K104" i="6"/>
  <c r="Y114" i="6"/>
  <c r="P114" i="6"/>
  <c r="K125" i="6"/>
  <c r="Y135" i="6"/>
  <c r="P135" i="6"/>
  <c r="P143" i="6"/>
  <c r="W44" i="6"/>
  <c r="K52" i="6"/>
  <c r="I52" i="6"/>
  <c r="W54" i="6"/>
  <c r="K62" i="6"/>
  <c r="I62" i="6"/>
  <c r="W64" i="6"/>
  <c r="K71" i="6"/>
  <c r="I71" i="6"/>
  <c r="P82" i="6"/>
  <c r="O82" i="6"/>
  <c r="Y82" i="6"/>
  <c r="W85" i="6"/>
  <c r="K93" i="6"/>
  <c r="I93" i="6"/>
  <c r="P104" i="6"/>
  <c r="O104" i="6"/>
  <c r="Y104" i="6"/>
  <c r="W107" i="6"/>
  <c r="K114" i="6"/>
  <c r="I114" i="6"/>
  <c r="P125" i="6"/>
  <c r="O125" i="6"/>
  <c r="Y125" i="6"/>
  <c r="W128" i="6"/>
  <c r="K135" i="6"/>
  <c r="I135" i="6"/>
  <c r="I143" i="6"/>
  <c r="K143" i="6"/>
  <c r="O143" i="6"/>
  <c r="Y143" i="6"/>
  <c r="I153" i="6"/>
  <c r="W145" i="6"/>
  <c r="K153" i="6"/>
  <c r="P163" i="6"/>
  <c r="K175" i="6"/>
  <c r="AA175" i="6"/>
  <c r="P175" i="6"/>
  <c r="AA181" i="6"/>
  <c r="O181" i="6"/>
  <c r="K181" i="6"/>
  <c r="I193" i="6"/>
  <c r="K199" i="6"/>
  <c r="AA199" i="6"/>
  <c r="P199" i="6"/>
  <c r="AA205" i="6"/>
  <c r="O205" i="6"/>
  <c r="K205" i="6"/>
  <c r="I217" i="6"/>
  <c r="K223" i="6"/>
  <c r="AA223" i="6"/>
  <c r="P223" i="6"/>
  <c r="AA229" i="6"/>
  <c r="O229" i="6"/>
  <c r="K229" i="6"/>
  <c r="O52" i="6"/>
  <c r="O62" i="6"/>
  <c r="O71" i="6"/>
  <c r="O93" i="6"/>
  <c r="O114" i="6"/>
  <c r="O135" i="6"/>
  <c r="O153" i="6"/>
  <c r="I163" i="6"/>
  <c r="K163" i="6"/>
  <c r="AA187" i="6"/>
  <c r="P187" i="6"/>
  <c r="AA193" i="6"/>
  <c r="O193" i="6"/>
  <c r="K193" i="6"/>
  <c r="AA211" i="6"/>
  <c r="P211" i="6"/>
  <c r="AA217" i="6"/>
  <c r="O217" i="6"/>
  <c r="K217" i="6"/>
  <c r="AA235" i="6"/>
  <c r="P235" i="6"/>
  <c r="O163" i="6"/>
  <c r="Y163" i="6"/>
  <c r="I175" i="6"/>
  <c r="P181" i="6"/>
  <c r="I187" i="6"/>
  <c r="P193" i="6"/>
  <c r="I199" i="6"/>
  <c r="P205" i="6"/>
  <c r="I211" i="6"/>
  <c r="P217" i="6"/>
  <c r="I223" i="6"/>
  <c r="P229" i="6"/>
  <c r="I235" i="6"/>
  <c r="K247" i="6"/>
  <c r="I247" i="6"/>
  <c r="P252" i="6"/>
  <c r="K260" i="6" s="1"/>
  <c r="O252" i="6"/>
  <c r="Y252" i="6"/>
  <c r="P254" i="6"/>
  <c r="O254" i="6"/>
  <c r="Y254" i="6"/>
  <c r="P256" i="6"/>
  <c r="O256" i="6"/>
  <c r="Y256" i="6"/>
  <c r="P258" i="6"/>
  <c r="O258" i="6"/>
  <c r="AA258" i="6"/>
  <c r="W155" i="6"/>
  <c r="W171" i="6"/>
  <c r="O175" i="6"/>
  <c r="W183" i="6"/>
  <c r="O187" i="6"/>
  <c r="W195" i="6"/>
  <c r="O199" i="6"/>
  <c r="W207" i="6"/>
  <c r="O211" i="6"/>
  <c r="W219" i="6"/>
  <c r="O223" i="6"/>
  <c r="W231" i="6"/>
  <c r="O235" i="6"/>
  <c r="O247" i="6"/>
  <c r="I260" i="6" s="1"/>
  <c r="H45" i="5"/>
  <c r="W37" i="5"/>
  <c r="J45" i="5"/>
  <c r="O55" i="5"/>
  <c r="H64" i="5"/>
  <c r="W57" i="5"/>
  <c r="Y64" i="5"/>
  <c r="O64" i="5"/>
  <c r="J64" i="5"/>
  <c r="Y75" i="5"/>
  <c r="P97" i="5"/>
  <c r="H97" i="5"/>
  <c r="H107" i="5"/>
  <c r="J107" i="5"/>
  <c r="P107" i="5"/>
  <c r="Y118" i="5"/>
  <c r="J136" i="5"/>
  <c r="Y136" i="5"/>
  <c r="AA180" i="5"/>
  <c r="O180" i="5"/>
  <c r="AA204" i="5"/>
  <c r="O204" i="5"/>
  <c r="AA228" i="5"/>
  <c r="O228" i="5"/>
  <c r="O45" i="5"/>
  <c r="Y45" i="5"/>
  <c r="H55" i="5"/>
  <c r="W47" i="5"/>
  <c r="J55" i="5"/>
  <c r="P75" i="5"/>
  <c r="H75" i="5"/>
  <c r="H86" i="5"/>
  <c r="J86" i="5"/>
  <c r="Y97" i="5"/>
  <c r="P118" i="5"/>
  <c r="H118" i="5"/>
  <c r="H128" i="5"/>
  <c r="J128" i="5"/>
  <c r="P128" i="5"/>
  <c r="H136" i="5"/>
  <c r="H146" i="5"/>
  <c r="J146" i="5"/>
  <c r="AA168" i="5"/>
  <c r="O168" i="5"/>
  <c r="AA192" i="5"/>
  <c r="O192" i="5"/>
  <c r="AA216" i="5"/>
  <c r="O216" i="5"/>
  <c r="J75" i="5"/>
  <c r="O86" i="5"/>
  <c r="Y86" i="5"/>
  <c r="J97" i="5"/>
  <c r="O107" i="5"/>
  <c r="Y107" i="5"/>
  <c r="J118" i="5"/>
  <c r="O128" i="5"/>
  <c r="Y128" i="5"/>
  <c r="P136" i="5"/>
  <c r="O136" i="5"/>
  <c r="O146" i="5"/>
  <c r="Y146" i="5"/>
  <c r="Y156" i="5"/>
  <c r="O156" i="5"/>
  <c r="H156" i="5"/>
  <c r="H168" i="5"/>
  <c r="H180" i="5"/>
  <c r="H192" i="5"/>
  <c r="H204" i="5"/>
  <c r="H216" i="5"/>
  <c r="H228" i="5"/>
  <c r="Y237" i="5"/>
  <c r="O237" i="5"/>
  <c r="J237" i="5"/>
  <c r="I22" i="5"/>
  <c r="I24" i="5"/>
  <c r="O75" i="5"/>
  <c r="W78" i="5"/>
  <c r="O97" i="5"/>
  <c r="W100" i="5"/>
  <c r="O118" i="5"/>
  <c r="W121" i="5"/>
  <c r="W138" i="5"/>
  <c r="W148" i="5"/>
  <c r="P156" i="5"/>
  <c r="J156" i="5"/>
  <c r="J168" i="5"/>
  <c r="AA174" i="5"/>
  <c r="O174" i="5"/>
  <c r="W170" i="5"/>
  <c r="P174" i="5"/>
  <c r="H174" i="5"/>
  <c r="J180" i="5"/>
  <c r="AA186" i="5"/>
  <c r="O186" i="5"/>
  <c r="W182" i="5"/>
  <c r="P186" i="5"/>
  <c r="H186" i="5"/>
  <c r="J192" i="5"/>
  <c r="AA198" i="5"/>
  <c r="O198" i="5"/>
  <c r="W194" i="5"/>
  <c r="P198" i="5"/>
  <c r="H198" i="5"/>
  <c r="J204" i="5"/>
  <c r="AA210" i="5"/>
  <c r="O210" i="5"/>
  <c r="W206" i="5"/>
  <c r="P210" i="5"/>
  <c r="H210" i="5"/>
  <c r="J216" i="5"/>
  <c r="AA222" i="5"/>
  <c r="O222" i="5"/>
  <c r="W218" i="5"/>
  <c r="P222" i="5"/>
  <c r="H222" i="5"/>
  <c r="J228" i="5"/>
  <c r="H237" i="5"/>
  <c r="Y243" i="5"/>
  <c r="O243" i="5"/>
  <c r="J243" i="5"/>
  <c r="O245" i="5"/>
  <c r="O247" i="5"/>
  <c r="O249" i="5"/>
  <c r="O251" i="5"/>
  <c r="A1" i="4"/>
  <c r="A1" i="3"/>
  <c r="CX1" i="3"/>
  <c r="CY1" i="3"/>
  <c r="CZ1" i="3"/>
  <c r="DA1" i="3"/>
  <c r="DB1" i="3"/>
  <c r="DC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I28" i="1"/>
  <c r="S28" i="1"/>
  <c r="W28" i="1"/>
  <c r="AC28" i="1"/>
  <c r="AE28" i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FR28" i="1"/>
  <c r="GL28" i="1"/>
  <c r="GN28" i="1"/>
  <c r="GP28" i="1"/>
  <c r="GV28" i="1"/>
  <c r="HC28" i="1" s="1"/>
  <c r="GX28" i="1" s="1"/>
  <c r="P29" i="1"/>
  <c r="R29" i="1"/>
  <c r="T29" i="1"/>
  <c r="AC29" i="1"/>
  <c r="AD29" i="1"/>
  <c r="AB29" i="1" s="1"/>
  <c r="AE29" i="1"/>
  <c r="Q29" i="1" s="1"/>
  <c r="AF29" i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CW29" i="1"/>
  <c r="V29" i="1" s="1"/>
  <c r="FR29" i="1"/>
  <c r="GK29" i="1"/>
  <c r="GL29" i="1"/>
  <c r="GN29" i="1"/>
  <c r="GP29" i="1"/>
  <c r="GV29" i="1"/>
  <c r="HC29" i="1"/>
  <c r="GX29" i="1" s="1"/>
  <c r="P30" i="1"/>
  <c r="R30" i="1"/>
  <c r="GK30" i="1" s="1"/>
  <c r="V30" i="1"/>
  <c r="AC30" i="1"/>
  <c r="AD30" i="1"/>
  <c r="AB30" i="1" s="1"/>
  <c r="AE30" i="1"/>
  <c r="Q30" i="1" s="1"/>
  <c r="AF30" i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T30" i="1" s="1"/>
  <c r="CW30" i="1"/>
  <c r="FR30" i="1"/>
  <c r="GL30" i="1"/>
  <c r="GN30" i="1"/>
  <c r="GP30" i="1"/>
  <c r="GV30" i="1"/>
  <c r="GX30" i="1"/>
  <c r="HC30" i="1"/>
  <c r="I31" i="1"/>
  <c r="R31" i="1"/>
  <c r="GK31" i="1" s="1"/>
  <c r="V31" i="1"/>
  <c r="AC31" i="1"/>
  <c r="AD31" i="1"/>
  <c r="AB31" i="1" s="1"/>
  <c r="AE31" i="1"/>
  <c r="AF31" i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FR31" i="1"/>
  <c r="GL31" i="1"/>
  <c r="GN31" i="1"/>
  <c r="GP31" i="1"/>
  <c r="GV31" i="1"/>
  <c r="GX31" i="1"/>
  <c r="HC31" i="1"/>
  <c r="I32" i="1"/>
  <c r="AC32" i="1"/>
  <c r="AD32" i="1"/>
  <c r="AB32" i="1" s="1"/>
  <c r="AE32" i="1"/>
  <c r="AF32" i="1"/>
  <c r="AG32" i="1"/>
  <c r="AH32" i="1"/>
  <c r="CV32" i="1" s="1"/>
  <c r="AI32" i="1"/>
  <c r="AJ32" i="1"/>
  <c r="CX32" i="1" s="1"/>
  <c r="CQ32" i="1"/>
  <c r="CR32" i="1"/>
  <c r="CS32" i="1"/>
  <c r="CU32" i="1"/>
  <c r="CW32" i="1"/>
  <c r="FR32" i="1"/>
  <c r="GL32" i="1"/>
  <c r="GN32" i="1"/>
  <c r="GP32" i="1"/>
  <c r="GV32" i="1"/>
  <c r="HC32" i="1"/>
  <c r="I33" i="1"/>
  <c r="R33" i="1"/>
  <c r="GK33" i="1" s="1"/>
  <c r="V33" i="1"/>
  <c r="AC33" i="1"/>
  <c r="AD33" i="1"/>
  <c r="AB33" i="1" s="1"/>
  <c r="AE33" i="1"/>
  <c r="AF33" i="1"/>
  <c r="AG33" i="1"/>
  <c r="AH33" i="1"/>
  <c r="CV33" i="1" s="1"/>
  <c r="U33" i="1" s="1"/>
  <c r="AI33" i="1"/>
  <c r="AJ33" i="1"/>
  <c r="CX33" i="1" s="1"/>
  <c r="W33" i="1" s="1"/>
  <c r="CQ33" i="1"/>
  <c r="CR33" i="1"/>
  <c r="CS33" i="1"/>
  <c r="CU33" i="1"/>
  <c r="T33" i="1" s="1"/>
  <c r="CW33" i="1"/>
  <c r="FR33" i="1"/>
  <c r="GL33" i="1"/>
  <c r="GN33" i="1"/>
  <c r="GP33" i="1"/>
  <c r="GV33" i="1"/>
  <c r="GX33" i="1"/>
  <c r="HC33" i="1"/>
  <c r="I34" i="1"/>
  <c r="AC34" i="1"/>
  <c r="AD34" i="1"/>
  <c r="AB34" i="1" s="1"/>
  <c r="AE34" i="1"/>
  <c r="AF34" i="1"/>
  <c r="AG34" i="1"/>
  <c r="AH34" i="1"/>
  <c r="CV34" i="1" s="1"/>
  <c r="AI34" i="1"/>
  <c r="AJ34" i="1"/>
  <c r="CX34" i="1" s="1"/>
  <c r="CQ34" i="1"/>
  <c r="CR34" i="1"/>
  <c r="CS34" i="1"/>
  <c r="CU34" i="1"/>
  <c r="CW34" i="1"/>
  <c r="FR34" i="1"/>
  <c r="GL34" i="1"/>
  <c r="GN34" i="1"/>
  <c r="GP34" i="1"/>
  <c r="GV34" i="1"/>
  <c r="HC34" i="1"/>
  <c r="I35" i="1"/>
  <c r="R35" i="1"/>
  <c r="GK35" i="1" s="1"/>
  <c r="V35" i="1"/>
  <c r="AC35" i="1"/>
  <c r="AD35" i="1"/>
  <c r="AB35" i="1" s="1"/>
  <c r="AE35" i="1"/>
  <c r="AF35" i="1"/>
  <c r="AG35" i="1"/>
  <c r="AH35" i="1"/>
  <c r="CV35" i="1" s="1"/>
  <c r="U35" i="1" s="1"/>
  <c r="AI35" i="1"/>
  <c r="AJ35" i="1"/>
  <c r="CX35" i="1" s="1"/>
  <c r="W35" i="1" s="1"/>
  <c r="CQ35" i="1"/>
  <c r="CR35" i="1"/>
  <c r="CS35" i="1"/>
  <c r="CU35" i="1"/>
  <c r="T35" i="1" s="1"/>
  <c r="CW35" i="1"/>
  <c r="FR35" i="1"/>
  <c r="GL35" i="1"/>
  <c r="GN35" i="1"/>
  <c r="GP35" i="1"/>
  <c r="GV35" i="1"/>
  <c r="GX35" i="1"/>
  <c r="HC35" i="1"/>
  <c r="I36" i="1"/>
  <c r="AC36" i="1"/>
  <c r="AD36" i="1"/>
  <c r="AB36" i="1" s="1"/>
  <c r="AE36" i="1"/>
  <c r="AF36" i="1"/>
  <c r="AG36" i="1"/>
  <c r="AH36" i="1"/>
  <c r="CV36" i="1" s="1"/>
  <c r="AI36" i="1"/>
  <c r="AJ36" i="1"/>
  <c r="CX36" i="1" s="1"/>
  <c r="CQ36" i="1"/>
  <c r="CR36" i="1"/>
  <c r="CS36" i="1"/>
  <c r="CU36" i="1"/>
  <c r="CW36" i="1"/>
  <c r="FR36" i="1"/>
  <c r="GL36" i="1"/>
  <c r="GN36" i="1"/>
  <c r="GP36" i="1"/>
  <c r="GV36" i="1"/>
  <c r="HC36" i="1"/>
  <c r="I37" i="1"/>
  <c r="R37" i="1"/>
  <c r="GK37" i="1" s="1"/>
  <c r="V37" i="1"/>
  <c r="AC37" i="1"/>
  <c r="AD37" i="1"/>
  <c r="AB37" i="1" s="1"/>
  <c r="AE37" i="1"/>
  <c r="AF37" i="1"/>
  <c r="AG37" i="1"/>
  <c r="AH37" i="1"/>
  <c r="CV37" i="1" s="1"/>
  <c r="U37" i="1" s="1"/>
  <c r="AI37" i="1"/>
  <c r="AJ37" i="1"/>
  <c r="CX37" i="1" s="1"/>
  <c r="W37" i="1" s="1"/>
  <c r="CQ37" i="1"/>
  <c r="CR37" i="1"/>
  <c r="CS37" i="1"/>
  <c r="CU37" i="1"/>
  <c r="T37" i="1" s="1"/>
  <c r="CW37" i="1"/>
  <c r="FR37" i="1"/>
  <c r="GL37" i="1"/>
  <c r="GN37" i="1"/>
  <c r="GP37" i="1"/>
  <c r="GV37" i="1"/>
  <c r="GX37" i="1"/>
  <c r="HC37" i="1"/>
  <c r="C38" i="1"/>
  <c r="D38" i="1"/>
  <c r="S38" i="1"/>
  <c r="CY38" i="1" s="1"/>
  <c r="X38" i="1" s="1"/>
  <c r="W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R38" i="1"/>
  <c r="CT38" i="1"/>
  <c r="CV38" i="1"/>
  <c r="U38" i="1" s="1"/>
  <c r="CX38" i="1"/>
  <c r="CZ38" i="1"/>
  <c r="Y38" i="1" s="1"/>
  <c r="FR38" i="1"/>
  <c r="GL38" i="1"/>
  <c r="GN38" i="1"/>
  <c r="GP38" i="1"/>
  <c r="GV38" i="1"/>
  <c r="HC38" i="1" s="1"/>
  <c r="GX38" i="1" s="1"/>
  <c r="P39" i="1"/>
  <c r="T39" i="1"/>
  <c r="AC39" i="1"/>
  <c r="AD39" i="1"/>
  <c r="AB39" i="1" s="1"/>
  <c r="AE39" i="1"/>
  <c r="Q39" i="1" s="1"/>
  <c r="AF39" i="1"/>
  <c r="AG39" i="1"/>
  <c r="AH39" i="1"/>
  <c r="CV39" i="1" s="1"/>
  <c r="U39" i="1" s="1"/>
  <c r="AI39" i="1"/>
  <c r="AJ39" i="1"/>
  <c r="CX39" i="1" s="1"/>
  <c r="W39" i="1" s="1"/>
  <c r="CQ39" i="1"/>
  <c r="CR39" i="1"/>
  <c r="CS39" i="1"/>
  <c r="CU39" i="1"/>
  <c r="CW39" i="1"/>
  <c r="V39" i="1" s="1"/>
  <c r="FR39" i="1"/>
  <c r="GL39" i="1"/>
  <c r="GN39" i="1"/>
  <c r="CB41" i="1" s="1"/>
  <c r="AS41" i="1" s="1"/>
  <c r="AS26" i="1" s="1"/>
  <c r="GP39" i="1"/>
  <c r="GV39" i="1"/>
  <c r="GX39" i="1"/>
  <c r="HC39" i="1"/>
  <c r="B41" i="1"/>
  <c r="B26" i="1" s="1"/>
  <c r="C41" i="1"/>
  <c r="C26" i="1" s="1"/>
  <c r="D41" i="1"/>
  <c r="D26" i="1" s="1"/>
  <c r="F41" i="1"/>
  <c r="F26" i="1" s="1"/>
  <c r="G41" i="1"/>
  <c r="G26" i="1" s="1"/>
  <c r="AP41" i="1"/>
  <c r="BB41" i="1"/>
  <c r="BX41" i="1"/>
  <c r="BX26" i="1" s="1"/>
  <c r="BY41" i="1"/>
  <c r="BY26" i="1" s="1"/>
  <c r="CK41" i="1"/>
  <c r="CK26" i="1" s="1"/>
  <c r="CL41" i="1"/>
  <c r="CL26" i="1" s="1"/>
  <c r="CM41" i="1"/>
  <c r="CM26" i="1" s="1"/>
  <c r="F58" i="1"/>
  <c r="D71" i="1"/>
  <c r="C73" i="1"/>
  <c r="E73" i="1"/>
  <c r="Z73" i="1"/>
  <c r="AA73" i="1"/>
  <c r="AM73" i="1"/>
  <c r="AN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CL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P75" i="1"/>
  <c r="R75" i="1"/>
  <c r="T75" i="1"/>
  <c r="AC75" i="1"/>
  <c r="AD75" i="1"/>
  <c r="AB75" i="1" s="1"/>
  <c r="AE75" i="1"/>
  <c r="Q75" i="1" s="1"/>
  <c r="AF75" i="1"/>
  <c r="AG75" i="1"/>
  <c r="AH75" i="1"/>
  <c r="CV75" i="1" s="1"/>
  <c r="U75" i="1" s="1"/>
  <c r="AI75" i="1"/>
  <c r="AJ75" i="1"/>
  <c r="CX75" i="1" s="1"/>
  <c r="W75" i="1" s="1"/>
  <c r="CQ75" i="1"/>
  <c r="CR75" i="1"/>
  <c r="CS75" i="1"/>
  <c r="CU75" i="1"/>
  <c r="CW75" i="1"/>
  <c r="V75" i="1" s="1"/>
  <c r="FR75" i="1"/>
  <c r="GL75" i="1"/>
  <c r="GN75" i="1"/>
  <c r="GO75" i="1"/>
  <c r="GV75" i="1"/>
  <c r="GX75" i="1"/>
  <c r="HC75" i="1"/>
  <c r="S76" i="1"/>
  <c r="CY76" i="1" s="1"/>
  <c r="X76" i="1" s="1"/>
  <c r="W76" i="1"/>
  <c r="AJ87" i="1" s="1"/>
  <c r="AC76" i="1"/>
  <c r="AE76" i="1"/>
  <c r="AF76" i="1"/>
  <c r="AG76" i="1"/>
  <c r="CU76" i="1" s="1"/>
  <c r="T76" i="1" s="1"/>
  <c r="AH76" i="1"/>
  <c r="AI76" i="1"/>
  <c r="CW76" i="1" s="1"/>
  <c r="V76" i="1" s="1"/>
  <c r="AJ76" i="1"/>
  <c r="CR76" i="1"/>
  <c r="CT76" i="1"/>
  <c r="CV76" i="1"/>
  <c r="U76" i="1" s="1"/>
  <c r="CX76" i="1"/>
  <c r="CZ76" i="1"/>
  <c r="Y76" i="1" s="1"/>
  <c r="FR76" i="1"/>
  <c r="GL76" i="1"/>
  <c r="GN76" i="1"/>
  <c r="GO76" i="1"/>
  <c r="GV76" i="1"/>
  <c r="HC76" i="1"/>
  <c r="GX76" i="1" s="1"/>
  <c r="P77" i="1"/>
  <c r="R77" i="1"/>
  <c r="GK77" i="1" s="1"/>
  <c r="V77" i="1"/>
  <c r="AC77" i="1"/>
  <c r="AD77" i="1"/>
  <c r="AB77" i="1" s="1"/>
  <c r="AE77" i="1"/>
  <c r="Q77" i="1" s="1"/>
  <c r="AF77" i="1"/>
  <c r="AG77" i="1"/>
  <c r="AH77" i="1"/>
  <c r="CV77" i="1" s="1"/>
  <c r="U77" i="1" s="1"/>
  <c r="AI77" i="1"/>
  <c r="AJ77" i="1"/>
  <c r="CX77" i="1" s="1"/>
  <c r="W77" i="1" s="1"/>
  <c r="CQ77" i="1"/>
  <c r="CR77" i="1"/>
  <c r="CS77" i="1"/>
  <c r="CU77" i="1"/>
  <c r="T77" i="1" s="1"/>
  <c r="CW77" i="1"/>
  <c r="FR77" i="1"/>
  <c r="GL77" i="1"/>
  <c r="GN77" i="1"/>
  <c r="GO77" i="1"/>
  <c r="GV77" i="1"/>
  <c r="GX77" i="1"/>
  <c r="HC77" i="1"/>
  <c r="S78" i="1"/>
  <c r="CY78" i="1" s="1"/>
  <c r="X78" i="1" s="1"/>
  <c r="W78" i="1"/>
  <c r="AC78" i="1"/>
  <c r="AE78" i="1"/>
  <c r="AF78" i="1"/>
  <c r="AG78" i="1"/>
  <c r="CU78" i="1" s="1"/>
  <c r="T78" i="1" s="1"/>
  <c r="AH78" i="1"/>
  <c r="AI78" i="1"/>
  <c r="CW78" i="1" s="1"/>
  <c r="V78" i="1" s="1"/>
  <c r="AJ78" i="1"/>
  <c r="CR78" i="1"/>
  <c r="CT78" i="1"/>
  <c r="CV78" i="1"/>
  <c r="U78" i="1" s="1"/>
  <c r="CX78" i="1"/>
  <c r="CZ78" i="1"/>
  <c r="Y78" i="1" s="1"/>
  <c r="FR78" i="1"/>
  <c r="GL78" i="1"/>
  <c r="GN78" i="1"/>
  <c r="GO78" i="1"/>
  <c r="GV78" i="1"/>
  <c r="HC78" i="1"/>
  <c r="GX78" i="1" s="1"/>
  <c r="P79" i="1"/>
  <c r="R79" i="1"/>
  <c r="GK79" i="1" s="1"/>
  <c r="V79" i="1"/>
  <c r="AC79" i="1"/>
  <c r="AD79" i="1"/>
  <c r="AB79" i="1" s="1"/>
  <c r="AE79" i="1"/>
  <c r="Q79" i="1" s="1"/>
  <c r="AF79" i="1"/>
  <c r="AG79" i="1"/>
  <c r="AH79" i="1"/>
  <c r="CV79" i="1" s="1"/>
  <c r="U79" i="1" s="1"/>
  <c r="AI79" i="1"/>
  <c r="AJ79" i="1"/>
  <c r="CX79" i="1" s="1"/>
  <c r="W79" i="1" s="1"/>
  <c r="CQ79" i="1"/>
  <c r="CR79" i="1"/>
  <c r="CS79" i="1"/>
  <c r="CU79" i="1"/>
  <c r="T79" i="1" s="1"/>
  <c r="CW79" i="1"/>
  <c r="FR79" i="1"/>
  <c r="GL79" i="1"/>
  <c r="GN79" i="1"/>
  <c r="GO79" i="1"/>
  <c r="GV79" i="1"/>
  <c r="GX79" i="1"/>
  <c r="HC79" i="1"/>
  <c r="Q80" i="1"/>
  <c r="S80" i="1"/>
  <c r="CY80" i="1" s="1"/>
  <c r="X80" i="1" s="1"/>
  <c r="U80" i="1"/>
  <c r="Y80" i="1"/>
  <c r="AC80" i="1"/>
  <c r="AE80" i="1"/>
  <c r="AF80" i="1"/>
  <c r="AG80" i="1"/>
  <c r="CU80" i="1" s="1"/>
  <c r="T80" i="1" s="1"/>
  <c r="AH80" i="1"/>
  <c r="AI80" i="1"/>
  <c r="CW80" i="1" s="1"/>
  <c r="V80" i="1" s="1"/>
  <c r="AJ80" i="1"/>
  <c r="CT80" i="1"/>
  <c r="CV80" i="1"/>
  <c r="CX80" i="1"/>
  <c r="W80" i="1" s="1"/>
  <c r="CZ80" i="1"/>
  <c r="FR80" i="1"/>
  <c r="GL80" i="1"/>
  <c r="GN80" i="1"/>
  <c r="GO80" i="1"/>
  <c r="GV80" i="1"/>
  <c r="HC80" i="1" s="1"/>
  <c r="GX80" i="1" s="1"/>
  <c r="P81" i="1"/>
  <c r="R81" i="1"/>
  <c r="GK81" i="1" s="1"/>
  <c r="T81" i="1"/>
  <c r="AC81" i="1"/>
  <c r="AD81" i="1"/>
  <c r="AB81" i="1" s="1"/>
  <c r="AE81" i="1"/>
  <c r="Q81" i="1" s="1"/>
  <c r="AF81" i="1"/>
  <c r="AG81" i="1"/>
  <c r="AH81" i="1"/>
  <c r="CV81" i="1" s="1"/>
  <c r="U81" i="1" s="1"/>
  <c r="AI81" i="1"/>
  <c r="AJ81" i="1"/>
  <c r="CX81" i="1" s="1"/>
  <c r="W81" i="1" s="1"/>
  <c r="CQ81" i="1"/>
  <c r="CR81" i="1"/>
  <c r="CS81" i="1"/>
  <c r="CU81" i="1"/>
  <c r="CW81" i="1"/>
  <c r="V81" i="1" s="1"/>
  <c r="FR81" i="1"/>
  <c r="GL81" i="1"/>
  <c r="GN81" i="1"/>
  <c r="GO81" i="1"/>
  <c r="GV81" i="1"/>
  <c r="GX81" i="1"/>
  <c r="HC81" i="1"/>
  <c r="S82" i="1"/>
  <c r="CY82" i="1" s="1"/>
  <c r="X82" i="1" s="1"/>
  <c r="W82" i="1"/>
  <c r="AC82" i="1"/>
  <c r="AE82" i="1"/>
  <c r="AF82" i="1"/>
  <c r="AG82" i="1"/>
  <c r="CU82" i="1" s="1"/>
  <c r="T82" i="1" s="1"/>
  <c r="AH82" i="1"/>
  <c r="AI82" i="1"/>
  <c r="CW82" i="1" s="1"/>
  <c r="V82" i="1" s="1"/>
  <c r="AJ82" i="1"/>
  <c r="CR82" i="1"/>
  <c r="CT82" i="1"/>
  <c r="CV82" i="1"/>
  <c r="U82" i="1" s="1"/>
  <c r="CX82" i="1"/>
  <c r="CZ82" i="1"/>
  <c r="Y82" i="1" s="1"/>
  <c r="FR82" i="1"/>
  <c r="GL82" i="1"/>
  <c r="GN82" i="1"/>
  <c r="GO82" i="1"/>
  <c r="GV82" i="1"/>
  <c r="HC82" i="1"/>
  <c r="GX82" i="1" s="1"/>
  <c r="P83" i="1"/>
  <c r="R83" i="1"/>
  <c r="GK83" i="1" s="1"/>
  <c r="V83" i="1"/>
  <c r="AC83" i="1"/>
  <c r="AD83" i="1"/>
  <c r="AB83" i="1" s="1"/>
  <c r="AE83" i="1"/>
  <c r="Q83" i="1" s="1"/>
  <c r="AF83" i="1"/>
  <c r="AG83" i="1"/>
  <c r="AH83" i="1"/>
  <c r="CV83" i="1" s="1"/>
  <c r="U83" i="1" s="1"/>
  <c r="AI83" i="1"/>
  <c r="AJ83" i="1"/>
  <c r="CX83" i="1" s="1"/>
  <c r="W83" i="1" s="1"/>
  <c r="CQ83" i="1"/>
  <c r="CR83" i="1"/>
  <c r="CS83" i="1"/>
  <c r="CU83" i="1"/>
  <c r="T83" i="1" s="1"/>
  <c r="CW83" i="1"/>
  <c r="FR83" i="1"/>
  <c r="GL83" i="1"/>
  <c r="GN83" i="1"/>
  <c r="GO83" i="1"/>
  <c r="GV83" i="1"/>
  <c r="GX83" i="1"/>
  <c r="HC83" i="1"/>
  <c r="Q84" i="1"/>
  <c r="S84" i="1"/>
  <c r="CY84" i="1" s="1"/>
  <c r="X84" i="1" s="1"/>
  <c r="U84" i="1"/>
  <c r="Y84" i="1"/>
  <c r="AC84" i="1"/>
  <c r="AE84" i="1"/>
  <c r="AF84" i="1"/>
  <c r="AG84" i="1"/>
  <c r="CU84" i="1" s="1"/>
  <c r="T84" i="1" s="1"/>
  <c r="AH84" i="1"/>
  <c r="AI84" i="1"/>
  <c r="CW84" i="1" s="1"/>
  <c r="V84" i="1" s="1"/>
  <c r="AJ84" i="1"/>
  <c r="CT84" i="1"/>
  <c r="CV84" i="1"/>
  <c r="CX84" i="1"/>
  <c r="W84" i="1" s="1"/>
  <c r="CZ84" i="1"/>
  <c r="FR84" i="1"/>
  <c r="GL84" i="1"/>
  <c r="GN84" i="1"/>
  <c r="GO84" i="1"/>
  <c r="GV84" i="1"/>
  <c r="HC84" i="1" s="1"/>
  <c r="GX84" i="1" s="1"/>
  <c r="P85" i="1"/>
  <c r="R85" i="1"/>
  <c r="GK85" i="1" s="1"/>
  <c r="T85" i="1"/>
  <c r="AC85" i="1"/>
  <c r="AD85" i="1"/>
  <c r="AB85" i="1" s="1"/>
  <c r="AE85" i="1"/>
  <c r="Q85" i="1" s="1"/>
  <c r="AF85" i="1"/>
  <c r="AG85" i="1"/>
  <c r="AH85" i="1"/>
  <c r="CV85" i="1" s="1"/>
  <c r="U85" i="1" s="1"/>
  <c r="AI85" i="1"/>
  <c r="AJ85" i="1"/>
  <c r="CX85" i="1" s="1"/>
  <c r="W85" i="1" s="1"/>
  <c r="CQ85" i="1"/>
  <c r="CR85" i="1"/>
  <c r="CS85" i="1"/>
  <c r="CU85" i="1"/>
  <c r="CW85" i="1"/>
  <c r="V85" i="1" s="1"/>
  <c r="FR85" i="1"/>
  <c r="GL85" i="1"/>
  <c r="GN85" i="1"/>
  <c r="GO85" i="1"/>
  <c r="GV85" i="1"/>
  <c r="GX85" i="1"/>
  <c r="HC85" i="1"/>
  <c r="B87" i="1"/>
  <c r="B73" i="1" s="1"/>
  <c r="C87" i="1"/>
  <c r="D87" i="1"/>
  <c r="D73" i="1" s="1"/>
  <c r="F87" i="1"/>
  <c r="F73" i="1" s="1"/>
  <c r="G87" i="1"/>
  <c r="G73" i="1" s="1"/>
  <c r="BB87" i="1"/>
  <c r="BX87" i="1"/>
  <c r="AO87" i="1" s="1"/>
  <c r="CK87" i="1"/>
  <c r="CK73" i="1" s="1"/>
  <c r="CL87" i="1"/>
  <c r="BC87" i="1" s="1"/>
  <c r="CM87" i="1"/>
  <c r="CM73" i="1" s="1"/>
  <c r="D117" i="1"/>
  <c r="E119" i="1"/>
  <c r="Z119" i="1"/>
  <c r="AA119" i="1"/>
  <c r="AM119" i="1"/>
  <c r="AN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CL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B119" i="1"/>
  <c r="EC119" i="1"/>
  <c r="ED119" i="1"/>
  <c r="EE119" i="1"/>
  <c r="EF119" i="1"/>
  <c r="EG119" i="1"/>
  <c r="EH119" i="1"/>
  <c r="EI119" i="1"/>
  <c r="EJ119" i="1"/>
  <c r="EK119" i="1"/>
  <c r="EL119" i="1"/>
  <c r="EM119" i="1"/>
  <c r="EN119" i="1"/>
  <c r="EO119" i="1"/>
  <c r="EP119" i="1"/>
  <c r="EQ119" i="1"/>
  <c r="ER119" i="1"/>
  <c r="ES119" i="1"/>
  <c r="ET119" i="1"/>
  <c r="EU119" i="1"/>
  <c r="EV119" i="1"/>
  <c r="EW119" i="1"/>
  <c r="EX119" i="1"/>
  <c r="EY119" i="1"/>
  <c r="EZ119" i="1"/>
  <c r="FA119" i="1"/>
  <c r="FB119" i="1"/>
  <c r="FC119" i="1"/>
  <c r="FD119" i="1"/>
  <c r="FE119" i="1"/>
  <c r="FF119" i="1"/>
  <c r="FG119" i="1"/>
  <c r="FH119" i="1"/>
  <c r="FI119" i="1"/>
  <c r="FJ119" i="1"/>
  <c r="FK119" i="1"/>
  <c r="FL119" i="1"/>
  <c r="FM119" i="1"/>
  <c r="FN119" i="1"/>
  <c r="FO119" i="1"/>
  <c r="FP119" i="1"/>
  <c r="FQ119" i="1"/>
  <c r="FR119" i="1"/>
  <c r="FS119" i="1"/>
  <c r="FT119" i="1"/>
  <c r="FU119" i="1"/>
  <c r="FV119" i="1"/>
  <c r="FW119" i="1"/>
  <c r="FX119" i="1"/>
  <c r="FY119" i="1"/>
  <c r="FZ119" i="1"/>
  <c r="GA119" i="1"/>
  <c r="GB119" i="1"/>
  <c r="GC119" i="1"/>
  <c r="GD119" i="1"/>
  <c r="GE119" i="1"/>
  <c r="GF119" i="1"/>
  <c r="GG119" i="1"/>
  <c r="GH119" i="1"/>
  <c r="GI119" i="1"/>
  <c r="GJ119" i="1"/>
  <c r="GK119" i="1"/>
  <c r="GL119" i="1"/>
  <c r="GM119" i="1"/>
  <c r="GN119" i="1"/>
  <c r="GO119" i="1"/>
  <c r="GP119" i="1"/>
  <c r="GQ119" i="1"/>
  <c r="GR119" i="1"/>
  <c r="GS119" i="1"/>
  <c r="GT119" i="1"/>
  <c r="GU119" i="1"/>
  <c r="GV119" i="1"/>
  <c r="GW119" i="1"/>
  <c r="GX119" i="1"/>
  <c r="AC121" i="1"/>
  <c r="AE121" i="1"/>
  <c r="AF121" i="1"/>
  <c r="AG121" i="1"/>
  <c r="CU121" i="1" s="1"/>
  <c r="AH121" i="1"/>
  <c r="AI121" i="1"/>
  <c r="CW121" i="1" s="1"/>
  <c r="AJ121" i="1"/>
  <c r="CR121" i="1"/>
  <c r="CT121" i="1"/>
  <c r="CV121" i="1"/>
  <c r="CX121" i="1"/>
  <c r="FR121" i="1"/>
  <c r="GL121" i="1"/>
  <c r="GN121" i="1"/>
  <c r="GP121" i="1"/>
  <c r="GV121" i="1"/>
  <c r="HC121" i="1" s="1"/>
  <c r="I122" i="1"/>
  <c r="S122" i="1"/>
  <c r="CY122" i="1" s="1"/>
  <c r="X122" i="1" s="1"/>
  <c r="U122" i="1"/>
  <c r="Y122" i="1"/>
  <c r="AC122" i="1"/>
  <c r="AE122" i="1"/>
  <c r="AF122" i="1"/>
  <c r="AG122" i="1"/>
  <c r="CU122" i="1" s="1"/>
  <c r="T122" i="1" s="1"/>
  <c r="AH122" i="1"/>
  <c r="AI122" i="1"/>
  <c r="CW122" i="1" s="1"/>
  <c r="V122" i="1" s="1"/>
  <c r="AJ122" i="1"/>
  <c r="CT122" i="1"/>
  <c r="CV122" i="1"/>
  <c r="CX122" i="1"/>
  <c r="W122" i="1" s="1"/>
  <c r="CZ122" i="1"/>
  <c r="FR122" i="1"/>
  <c r="GL122" i="1"/>
  <c r="GN122" i="1"/>
  <c r="GP122" i="1"/>
  <c r="GV122" i="1"/>
  <c r="HC122" i="1"/>
  <c r="GX122" i="1" s="1"/>
  <c r="I123" i="1"/>
  <c r="S123" i="1"/>
  <c r="CY123" i="1" s="1"/>
  <c r="X123" i="1" s="1"/>
  <c r="W123" i="1"/>
  <c r="AC123" i="1"/>
  <c r="AE123" i="1"/>
  <c r="AF123" i="1"/>
  <c r="AG123" i="1"/>
  <c r="CU123" i="1" s="1"/>
  <c r="T123" i="1" s="1"/>
  <c r="AH123" i="1"/>
  <c r="AI123" i="1"/>
  <c r="CW123" i="1" s="1"/>
  <c r="V123" i="1" s="1"/>
  <c r="AJ123" i="1"/>
  <c r="CR123" i="1"/>
  <c r="CT123" i="1"/>
  <c r="CV123" i="1"/>
  <c r="U123" i="1" s="1"/>
  <c r="CX123" i="1"/>
  <c r="CZ123" i="1"/>
  <c r="Y123" i="1" s="1"/>
  <c r="FR123" i="1"/>
  <c r="GL123" i="1"/>
  <c r="GN123" i="1"/>
  <c r="GP123" i="1"/>
  <c r="GV123" i="1"/>
  <c r="HC123" i="1" s="1"/>
  <c r="GX123" i="1" s="1"/>
  <c r="P124" i="1"/>
  <c r="R124" i="1"/>
  <c r="GK124" i="1" s="1"/>
  <c r="T124" i="1"/>
  <c r="AC124" i="1"/>
  <c r="AD124" i="1"/>
  <c r="AB124" i="1" s="1"/>
  <c r="AE124" i="1"/>
  <c r="Q124" i="1" s="1"/>
  <c r="AF124" i="1"/>
  <c r="AG124" i="1"/>
  <c r="AH124" i="1"/>
  <c r="CV124" i="1" s="1"/>
  <c r="U124" i="1" s="1"/>
  <c r="AI124" i="1"/>
  <c r="AJ124" i="1"/>
  <c r="CX124" i="1" s="1"/>
  <c r="W124" i="1" s="1"/>
  <c r="CQ124" i="1"/>
  <c r="CR124" i="1"/>
  <c r="CS124" i="1"/>
  <c r="CU124" i="1"/>
  <c r="CW124" i="1"/>
  <c r="V124" i="1" s="1"/>
  <c r="FR124" i="1"/>
  <c r="GL124" i="1"/>
  <c r="GN124" i="1"/>
  <c r="CB129" i="1" s="1"/>
  <c r="GP124" i="1"/>
  <c r="GV124" i="1"/>
  <c r="GX124" i="1"/>
  <c r="HC124" i="1"/>
  <c r="I125" i="1"/>
  <c r="Q125" i="1" s="1"/>
  <c r="P125" i="1"/>
  <c r="R125" i="1"/>
  <c r="GK125" i="1" s="1"/>
  <c r="T125" i="1"/>
  <c r="AC125" i="1"/>
  <c r="AD125" i="1"/>
  <c r="AB125" i="1" s="1"/>
  <c r="AE125" i="1"/>
  <c r="AF125" i="1"/>
  <c r="AG125" i="1"/>
  <c r="AH125" i="1"/>
  <c r="CV125" i="1" s="1"/>
  <c r="U125" i="1" s="1"/>
  <c r="AI125" i="1"/>
  <c r="AJ125" i="1"/>
  <c r="CX125" i="1" s="1"/>
  <c r="W125" i="1" s="1"/>
  <c r="CQ125" i="1"/>
  <c r="CR125" i="1"/>
  <c r="CS125" i="1"/>
  <c r="CU125" i="1"/>
  <c r="CW125" i="1"/>
  <c r="V125" i="1" s="1"/>
  <c r="FR125" i="1"/>
  <c r="GL125" i="1"/>
  <c r="GN125" i="1"/>
  <c r="GP125" i="1"/>
  <c r="GV125" i="1"/>
  <c r="GX125" i="1"/>
  <c r="HC125" i="1"/>
  <c r="I126" i="1"/>
  <c r="AC126" i="1"/>
  <c r="AE126" i="1"/>
  <c r="R126" i="1" s="1"/>
  <c r="GK126" i="1" s="1"/>
  <c r="AF126" i="1"/>
  <c r="S126" i="1" s="1"/>
  <c r="AG126" i="1"/>
  <c r="CU126" i="1" s="1"/>
  <c r="T126" i="1" s="1"/>
  <c r="AH126" i="1"/>
  <c r="AI126" i="1"/>
  <c r="CW126" i="1" s="1"/>
  <c r="V126" i="1" s="1"/>
  <c r="AJ126" i="1"/>
  <c r="CR126" i="1"/>
  <c r="CT126" i="1"/>
  <c r="CV126" i="1"/>
  <c r="U126" i="1" s="1"/>
  <c r="CX126" i="1"/>
  <c r="W126" i="1" s="1"/>
  <c r="CY126" i="1"/>
  <c r="X126" i="1" s="1"/>
  <c r="CZ126" i="1"/>
  <c r="Y126" i="1" s="1"/>
  <c r="FR126" i="1"/>
  <c r="GL126" i="1"/>
  <c r="GN126" i="1"/>
  <c r="GP126" i="1"/>
  <c r="GV126" i="1"/>
  <c r="HC126" i="1"/>
  <c r="GX126" i="1" s="1"/>
  <c r="P127" i="1"/>
  <c r="R127" i="1"/>
  <c r="GK127" i="1" s="1"/>
  <c r="AC127" i="1"/>
  <c r="AD127" i="1"/>
  <c r="AB127" i="1" s="1"/>
  <c r="AE127" i="1"/>
  <c r="Q127" i="1" s="1"/>
  <c r="AF127" i="1"/>
  <c r="S127" i="1" s="1"/>
  <c r="AG127" i="1"/>
  <c r="AH127" i="1"/>
  <c r="CV127" i="1" s="1"/>
  <c r="U127" i="1" s="1"/>
  <c r="AI127" i="1"/>
  <c r="AJ127" i="1"/>
  <c r="CX127" i="1" s="1"/>
  <c r="W127" i="1" s="1"/>
  <c r="CQ127" i="1"/>
  <c r="CR127" i="1"/>
  <c r="CS127" i="1"/>
  <c r="CU127" i="1"/>
  <c r="T127" i="1" s="1"/>
  <c r="CW127" i="1"/>
  <c r="V127" i="1" s="1"/>
  <c r="FR127" i="1"/>
  <c r="GL127" i="1"/>
  <c r="BZ129" i="1" s="1"/>
  <c r="GN127" i="1"/>
  <c r="GO127" i="1"/>
  <c r="GV127" i="1"/>
  <c r="GX127" i="1"/>
  <c r="HC127" i="1"/>
  <c r="B129" i="1"/>
  <c r="B119" i="1" s="1"/>
  <c r="C129" i="1"/>
  <c r="C119" i="1" s="1"/>
  <c r="D129" i="1"/>
  <c r="D119" i="1" s="1"/>
  <c r="F129" i="1"/>
  <c r="F119" i="1" s="1"/>
  <c r="G129" i="1"/>
  <c r="G119" i="1" s="1"/>
  <c r="BX129" i="1"/>
  <c r="BX119" i="1" s="1"/>
  <c r="BY129" i="1"/>
  <c r="BY119" i="1" s="1"/>
  <c r="CK129" i="1"/>
  <c r="CK119" i="1" s="1"/>
  <c r="CL129" i="1"/>
  <c r="BC129" i="1" s="1"/>
  <c r="CM129" i="1"/>
  <c r="CM119" i="1" s="1"/>
  <c r="B159" i="1"/>
  <c r="B22" i="1" s="1"/>
  <c r="C159" i="1"/>
  <c r="C22" i="1" s="1"/>
  <c r="D159" i="1"/>
  <c r="D22" i="1" s="1"/>
  <c r="F159" i="1"/>
  <c r="F22" i="1" s="1"/>
  <c r="G159" i="1"/>
  <c r="G22" i="1" s="1"/>
  <c r="B189" i="1"/>
  <c r="B18" i="1" s="1"/>
  <c r="C189" i="1"/>
  <c r="C18" i="1" s="1"/>
  <c r="D189" i="1"/>
  <c r="D18" i="1" s="1"/>
  <c r="F189" i="1"/>
  <c r="F18" i="1" s="1"/>
  <c r="G189" i="1"/>
  <c r="G18" i="1" l="1"/>
  <c r="A268" i="6"/>
  <c r="AL261" i="5"/>
  <c r="AL268" i="6"/>
  <c r="A261" i="5"/>
  <c r="I25" i="5"/>
  <c r="J230" i="5"/>
  <c r="H230" i="5"/>
  <c r="J261" i="5"/>
  <c r="I165" i="6"/>
  <c r="I268" i="6"/>
  <c r="I264" i="6"/>
  <c r="I237" i="6"/>
  <c r="K237" i="6"/>
  <c r="K268" i="6"/>
  <c r="K264" i="6"/>
  <c r="K165" i="6"/>
  <c r="I21" i="5"/>
  <c r="H261" i="5"/>
  <c r="H158" i="5"/>
  <c r="H257" i="5"/>
  <c r="J257" i="5"/>
  <c r="H253" i="5"/>
  <c r="I23" i="5"/>
  <c r="I26" i="5"/>
  <c r="J158" i="5"/>
  <c r="BC119" i="1"/>
  <c r="F145" i="1"/>
  <c r="AQ129" i="1"/>
  <c r="BZ119" i="1"/>
  <c r="CG129" i="1"/>
  <c r="CI129" i="1"/>
  <c r="CP127" i="1"/>
  <c r="O127" i="1" s="1"/>
  <c r="CZ127" i="1"/>
  <c r="Y127" i="1" s="1"/>
  <c r="CY127" i="1"/>
  <c r="X127" i="1" s="1"/>
  <c r="AB126" i="1"/>
  <c r="CB119" i="1"/>
  <c r="AS129" i="1"/>
  <c r="W87" i="1"/>
  <c r="AJ73" i="1"/>
  <c r="BD129" i="1"/>
  <c r="BB129" i="1"/>
  <c r="AP129" i="1"/>
  <c r="P126" i="1"/>
  <c r="CP124" i="1"/>
  <c r="O124" i="1" s="1"/>
  <c r="P123" i="1"/>
  <c r="CQ123" i="1"/>
  <c r="R122" i="1"/>
  <c r="GK122" i="1" s="1"/>
  <c r="AD122" i="1"/>
  <c r="CS122" i="1"/>
  <c r="Q122" i="1"/>
  <c r="CQ121" i="1"/>
  <c r="AO73" i="1"/>
  <c r="F91" i="1"/>
  <c r="S83" i="1"/>
  <c r="CT83" i="1"/>
  <c r="S79" i="1"/>
  <c r="CT79" i="1"/>
  <c r="S77" i="1"/>
  <c r="CT77" i="1"/>
  <c r="CC87" i="1"/>
  <c r="AH87" i="1"/>
  <c r="CJ87" i="1"/>
  <c r="CB87" i="1"/>
  <c r="BY87" i="1"/>
  <c r="S37" i="1"/>
  <c r="CT37" i="1"/>
  <c r="Q34" i="1"/>
  <c r="P34" i="1"/>
  <c r="R34" i="1"/>
  <c r="GK34" i="1" s="1"/>
  <c r="GX34" i="1"/>
  <c r="V34" i="1"/>
  <c r="S33" i="1"/>
  <c r="CT33" i="1"/>
  <c r="AO129" i="1"/>
  <c r="CT127" i="1"/>
  <c r="CS126" i="1"/>
  <c r="CQ126" i="1"/>
  <c r="AD126" i="1"/>
  <c r="Q126" i="1"/>
  <c r="S125" i="1"/>
  <c r="CT125" i="1"/>
  <c r="S124" i="1"/>
  <c r="CT124" i="1"/>
  <c r="R123" i="1"/>
  <c r="GK123" i="1" s="1"/>
  <c r="AD123" i="1"/>
  <c r="AB123" i="1" s="1"/>
  <c r="CS123" i="1"/>
  <c r="Q123" i="1"/>
  <c r="CR122" i="1"/>
  <c r="P122" i="1"/>
  <c r="CP122" i="1" s="1"/>
  <c r="O122" i="1" s="1"/>
  <c r="AB122" i="1"/>
  <c r="CQ122" i="1"/>
  <c r="AD121" i="1"/>
  <c r="AB121" i="1" s="1"/>
  <c r="CS121" i="1"/>
  <c r="BC73" i="1"/>
  <c r="F103" i="1"/>
  <c r="BB73" i="1"/>
  <c r="F100" i="1"/>
  <c r="R84" i="1"/>
  <c r="GK84" i="1" s="1"/>
  <c r="AD84" i="1"/>
  <c r="AB84" i="1" s="1"/>
  <c r="CS84" i="1"/>
  <c r="CR84" i="1"/>
  <c r="P82" i="1"/>
  <c r="AB82" i="1"/>
  <c r="CQ82" i="1"/>
  <c r="R80" i="1"/>
  <c r="GK80" i="1" s="1"/>
  <c r="AD80" i="1"/>
  <c r="AB80" i="1" s="1"/>
  <c r="CS80" i="1"/>
  <c r="CR80" i="1"/>
  <c r="P78" i="1"/>
  <c r="AB78" i="1"/>
  <c r="CQ78" i="1"/>
  <c r="BB26" i="1"/>
  <c r="F54" i="1"/>
  <c r="Q36" i="1"/>
  <c r="P36" i="1"/>
  <c r="R36" i="1"/>
  <c r="GK36" i="1" s="1"/>
  <c r="GX36" i="1"/>
  <c r="V36" i="1"/>
  <c r="S35" i="1"/>
  <c r="CT35" i="1"/>
  <c r="Q32" i="1"/>
  <c r="P32" i="1"/>
  <c r="CP32" i="1" s="1"/>
  <c r="O32" i="1" s="1"/>
  <c r="R32" i="1"/>
  <c r="GK32" i="1" s="1"/>
  <c r="GX32" i="1"/>
  <c r="CJ41" i="1" s="1"/>
  <c r="V32" i="1"/>
  <c r="I121" i="1"/>
  <c r="S31" i="1"/>
  <c r="CT31" i="1"/>
  <c r="AI41" i="1"/>
  <c r="BD87" i="1"/>
  <c r="S85" i="1"/>
  <c r="CT85" i="1"/>
  <c r="P84" i="1"/>
  <c r="CP84" i="1" s="1"/>
  <c r="O84" i="1" s="1"/>
  <c r="CQ84" i="1"/>
  <c r="CP83" i="1"/>
  <c r="O83" i="1" s="1"/>
  <c r="R82" i="1"/>
  <c r="GK82" i="1" s="1"/>
  <c r="AD82" i="1"/>
  <c r="CS82" i="1"/>
  <c r="Q82" i="1"/>
  <c r="S81" i="1"/>
  <c r="CT81" i="1"/>
  <c r="P80" i="1"/>
  <c r="CP80" i="1" s="1"/>
  <c r="O80" i="1" s="1"/>
  <c r="CQ80" i="1"/>
  <c r="CP79" i="1"/>
  <c r="O79" i="1" s="1"/>
  <c r="R78" i="1"/>
  <c r="GK78" i="1" s="1"/>
  <c r="AD78" i="1"/>
  <c r="CS78" i="1"/>
  <c r="Q78" i="1"/>
  <c r="P76" i="1"/>
  <c r="CP76" i="1" s="1"/>
  <c r="O76" i="1" s="1"/>
  <c r="CQ76" i="1"/>
  <c r="AI87" i="1"/>
  <c r="AG87" i="1"/>
  <c r="AC87" i="1"/>
  <c r="AP26" i="1"/>
  <c r="F50" i="1"/>
  <c r="S39" i="1"/>
  <c r="CT39" i="1"/>
  <c r="CP77" i="1"/>
  <c r="O77" i="1" s="1"/>
  <c r="R76" i="1"/>
  <c r="GK76" i="1" s="1"/>
  <c r="AD76" i="1"/>
  <c r="AB76" i="1" s="1"/>
  <c r="CS76" i="1"/>
  <c r="Q76" i="1"/>
  <c r="AD87" i="1" s="1"/>
  <c r="BZ87" i="1"/>
  <c r="S75" i="1"/>
  <c r="CT75" i="1"/>
  <c r="GK75" i="1"/>
  <c r="AE87" i="1"/>
  <c r="BD41" i="1"/>
  <c r="CP39" i="1"/>
  <c r="O39" i="1" s="1"/>
  <c r="P38" i="1"/>
  <c r="CQ38" i="1"/>
  <c r="Q37" i="1"/>
  <c r="P37" i="1"/>
  <c r="T36" i="1"/>
  <c r="W36" i="1"/>
  <c r="U36" i="1"/>
  <c r="S36" i="1"/>
  <c r="CT36" i="1"/>
  <c r="Q35" i="1"/>
  <c r="P35" i="1"/>
  <c r="CP35" i="1" s="1"/>
  <c r="O35" i="1" s="1"/>
  <c r="T34" i="1"/>
  <c r="W34" i="1"/>
  <c r="U34" i="1"/>
  <c r="S34" i="1"/>
  <c r="CT34" i="1"/>
  <c r="Q33" i="1"/>
  <c r="P33" i="1"/>
  <c r="T32" i="1"/>
  <c r="W32" i="1"/>
  <c r="U32" i="1"/>
  <c r="AH41" i="1" s="1"/>
  <c r="S32" i="1"/>
  <c r="CT32" i="1"/>
  <c r="Q31" i="1"/>
  <c r="P31" i="1"/>
  <c r="CP31" i="1" s="1"/>
  <c r="O31" i="1" s="1"/>
  <c r="CD41" i="1"/>
  <c r="BZ41" i="1"/>
  <c r="S30" i="1"/>
  <c r="CT30" i="1"/>
  <c r="AG41" i="1"/>
  <c r="P28" i="1"/>
  <c r="CQ28" i="1"/>
  <c r="CY28" i="1"/>
  <c r="X28" i="1" s="1"/>
  <c r="CZ28" i="1"/>
  <c r="Y28" i="1" s="1"/>
  <c r="CB26" i="1"/>
  <c r="BC41" i="1"/>
  <c r="AO41" i="1"/>
  <c r="R39" i="1"/>
  <c r="GK39" i="1" s="1"/>
  <c r="R38" i="1"/>
  <c r="GK38" i="1" s="1"/>
  <c r="AD38" i="1"/>
  <c r="AB38" i="1" s="1"/>
  <c r="CS38" i="1"/>
  <c r="Q38" i="1"/>
  <c r="CP30" i="1"/>
  <c r="O30" i="1" s="1"/>
  <c r="S29" i="1"/>
  <c r="CT29" i="1"/>
  <c r="R28" i="1"/>
  <c r="AD28" i="1"/>
  <c r="AB28" i="1" s="1"/>
  <c r="CS28" i="1"/>
  <c r="Q28" i="1"/>
  <c r="U41" i="1" l="1"/>
  <c r="AH26" i="1"/>
  <c r="BA41" i="1"/>
  <c r="CJ26" i="1"/>
  <c r="GK28" i="1"/>
  <c r="AE41" i="1"/>
  <c r="CY29" i="1"/>
  <c r="X29" i="1" s="1"/>
  <c r="CZ29" i="1"/>
  <c r="Y29" i="1" s="1"/>
  <c r="AL41" i="1" s="1"/>
  <c r="AF41" i="1"/>
  <c r="BC26" i="1"/>
  <c r="F57" i="1"/>
  <c r="BC159" i="1"/>
  <c r="CP28" i="1"/>
  <c r="O28" i="1" s="1"/>
  <c r="AC41" i="1"/>
  <c r="AG26" i="1"/>
  <c r="T41" i="1"/>
  <c r="BZ26" i="1"/>
  <c r="AQ41" i="1"/>
  <c r="CG41" i="1"/>
  <c r="CI41" i="1"/>
  <c r="CZ34" i="1"/>
  <c r="Y34" i="1" s="1"/>
  <c r="CY34" i="1"/>
  <c r="X34" i="1" s="1"/>
  <c r="AE73" i="1"/>
  <c r="R87" i="1"/>
  <c r="AQ87" i="1"/>
  <c r="CG87" i="1"/>
  <c r="BZ73" i="1"/>
  <c r="AC73" i="1"/>
  <c r="CF87" i="1"/>
  <c r="CH87" i="1"/>
  <c r="P87" i="1"/>
  <c r="CE87" i="1"/>
  <c r="AG73" i="1"/>
  <c r="T87" i="1"/>
  <c r="GP76" i="1"/>
  <c r="GM76" i="1"/>
  <c r="GP80" i="1"/>
  <c r="GM80" i="1"/>
  <c r="CZ81" i="1"/>
  <c r="Y81" i="1" s="1"/>
  <c r="CY81" i="1"/>
  <c r="X81" i="1" s="1"/>
  <c r="GP84" i="1"/>
  <c r="GM84" i="1"/>
  <c r="CZ85" i="1"/>
  <c r="Y85" i="1" s="1"/>
  <c r="CY85" i="1"/>
  <c r="X85" i="1" s="1"/>
  <c r="AI26" i="1"/>
  <c r="V41" i="1"/>
  <c r="CZ31" i="1"/>
  <c r="Y31" i="1" s="1"/>
  <c r="GM31" i="1" s="1"/>
  <c r="CY31" i="1"/>
  <c r="X31" i="1" s="1"/>
  <c r="GO31" i="1" s="1"/>
  <c r="Q121" i="1"/>
  <c r="AD129" i="1" s="1"/>
  <c r="S121" i="1"/>
  <c r="W121" i="1"/>
  <c r="AJ129" i="1" s="1"/>
  <c r="CP81" i="1"/>
  <c r="O81" i="1" s="1"/>
  <c r="CP85" i="1"/>
  <c r="O85" i="1" s="1"/>
  <c r="T121" i="1"/>
  <c r="AG129" i="1" s="1"/>
  <c r="GM122" i="1"/>
  <c r="GO122" i="1"/>
  <c r="CZ37" i="1"/>
  <c r="Y37" i="1" s="1"/>
  <c r="CY37" i="1"/>
  <c r="X37" i="1" s="1"/>
  <c r="AS87" i="1"/>
  <c r="CB73" i="1"/>
  <c r="U87" i="1"/>
  <c r="AH73" i="1"/>
  <c r="P121" i="1"/>
  <c r="CP126" i="1"/>
  <c r="O126" i="1" s="1"/>
  <c r="BB159" i="1"/>
  <c r="BB119" i="1"/>
  <c r="F142" i="1"/>
  <c r="U121" i="1"/>
  <c r="AH129" i="1" s="1"/>
  <c r="AS119" i="1"/>
  <c r="F146" i="1"/>
  <c r="CI119" i="1"/>
  <c r="AZ129" i="1"/>
  <c r="AD41" i="1"/>
  <c r="AO26" i="1"/>
  <c r="F45" i="1"/>
  <c r="AO159" i="1"/>
  <c r="CP29" i="1"/>
  <c r="O29" i="1" s="1"/>
  <c r="CZ30" i="1"/>
  <c r="Y30" i="1" s="1"/>
  <c r="GO30" i="1" s="1"/>
  <c r="CY30" i="1"/>
  <c r="X30" i="1" s="1"/>
  <c r="GM30" i="1" s="1"/>
  <c r="CD26" i="1"/>
  <c r="AU41" i="1"/>
  <c r="CZ32" i="1"/>
  <c r="Y32" i="1" s="1"/>
  <c r="GO32" i="1" s="1"/>
  <c r="CY32" i="1"/>
  <c r="X32" i="1" s="1"/>
  <c r="GM32" i="1" s="1"/>
  <c r="AJ41" i="1"/>
  <c r="CP33" i="1"/>
  <c r="O33" i="1" s="1"/>
  <c r="CZ36" i="1"/>
  <c r="Y36" i="1" s="1"/>
  <c r="CY36" i="1"/>
  <c r="X36" i="1" s="1"/>
  <c r="CP37" i="1"/>
  <c r="O37" i="1" s="1"/>
  <c r="CP38" i="1"/>
  <c r="O38" i="1" s="1"/>
  <c r="BD26" i="1"/>
  <c r="F66" i="1"/>
  <c r="BD159" i="1"/>
  <c r="CZ75" i="1"/>
  <c r="Y75" i="1" s="1"/>
  <c r="CY75" i="1"/>
  <c r="X75" i="1" s="1"/>
  <c r="AK87" i="1" s="1"/>
  <c r="AF87" i="1"/>
  <c r="Q87" i="1"/>
  <c r="AD73" i="1"/>
  <c r="CZ39" i="1"/>
  <c r="Y39" i="1" s="1"/>
  <c r="GM39" i="1" s="1"/>
  <c r="CY39" i="1"/>
  <c r="X39" i="1" s="1"/>
  <c r="GO39" i="1" s="1"/>
  <c r="CP75" i="1"/>
  <c r="O75" i="1" s="1"/>
  <c r="AI73" i="1"/>
  <c r="V87" i="1"/>
  <c r="BD73" i="1"/>
  <c r="F112" i="1"/>
  <c r="CZ35" i="1"/>
  <c r="Y35" i="1" s="1"/>
  <c r="CY35" i="1"/>
  <c r="X35" i="1" s="1"/>
  <c r="GO35" i="1" s="1"/>
  <c r="CP36" i="1"/>
  <c r="O36" i="1" s="1"/>
  <c r="CP78" i="1"/>
  <c r="O78" i="1" s="1"/>
  <c r="CP82" i="1"/>
  <c r="O82" i="1" s="1"/>
  <c r="R121" i="1"/>
  <c r="V121" i="1"/>
  <c r="AI129" i="1" s="1"/>
  <c r="CZ124" i="1"/>
  <c r="Y124" i="1" s="1"/>
  <c r="GO124" i="1" s="1"/>
  <c r="CY124" i="1"/>
  <c r="X124" i="1" s="1"/>
  <c r="GM124" i="1" s="1"/>
  <c r="CZ125" i="1"/>
  <c r="Y125" i="1" s="1"/>
  <c r="CY125" i="1"/>
  <c r="X125" i="1" s="1"/>
  <c r="AO119" i="1"/>
  <c r="F133" i="1"/>
  <c r="CZ33" i="1"/>
  <c r="Y33" i="1" s="1"/>
  <c r="CY33" i="1"/>
  <c r="X33" i="1" s="1"/>
  <c r="CP34" i="1"/>
  <c r="O34" i="1" s="1"/>
  <c r="BY73" i="1"/>
  <c r="CI87" i="1"/>
  <c r="AP87" i="1"/>
  <c r="BA87" i="1"/>
  <c r="CJ73" i="1"/>
  <c r="CC73" i="1"/>
  <c r="AT87" i="1"/>
  <c r="CZ77" i="1"/>
  <c r="Y77" i="1" s="1"/>
  <c r="GM77" i="1" s="1"/>
  <c r="CY77" i="1"/>
  <c r="X77" i="1" s="1"/>
  <c r="GP77" i="1" s="1"/>
  <c r="CZ79" i="1"/>
  <c r="Y79" i="1" s="1"/>
  <c r="GP79" i="1" s="1"/>
  <c r="CY79" i="1"/>
  <c r="X79" i="1" s="1"/>
  <c r="GM79" i="1" s="1"/>
  <c r="CZ83" i="1"/>
  <c r="Y83" i="1" s="1"/>
  <c r="GP83" i="1" s="1"/>
  <c r="CY83" i="1"/>
  <c r="X83" i="1" s="1"/>
  <c r="GM83" i="1" s="1"/>
  <c r="CP123" i="1"/>
  <c r="O123" i="1" s="1"/>
  <c r="CP125" i="1"/>
  <c r="O125" i="1" s="1"/>
  <c r="AP119" i="1"/>
  <c r="F138" i="1"/>
  <c r="BD119" i="1"/>
  <c r="F154" i="1"/>
  <c r="W73" i="1"/>
  <c r="F111" i="1"/>
  <c r="GX121" i="1"/>
  <c r="CJ129" i="1" s="1"/>
  <c r="GM127" i="1"/>
  <c r="GP127" i="1"/>
  <c r="CD129" i="1" s="1"/>
  <c r="CG119" i="1"/>
  <c r="AX129" i="1"/>
  <c r="AQ119" i="1"/>
  <c r="F139" i="1"/>
  <c r="AL26" i="1" l="1"/>
  <c r="Y41" i="1"/>
  <c r="AX119" i="1"/>
  <c r="F136" i="1"/>
  <c r="AU129" i="1"/>
  <c r="CD119" i="1"/>
  <c r="CJ119" i="1"/>
  <c r="BA129" i="1"/>
  <c r="GM123" i="1"/>
  <c r="GO123" i="1"/>
  <c r="BA73" i="1"/>
  <c r="F107" i="1"/>
  <c r="CI73" i="1"/>
  <c r="AZ87" i="1"/>
  <c r="GM34" i="1"/>
  <c r="GO34" i="1"/>
  <c r="AE129" i="1"/>
  <c r="GK121" i="1"/>
  <c r="GP78" i="1"/>
  <c r="GM78" i="1"/>
  <c r="V73" i="1"/>
  <c r="F110" i="1"/>
  <c r="GM75" i="1"/>
  <c r="AB87" i="1"/>
  <c r="GP75" i="1"/>
  <c r="Q73" i="1"/>
  <c r="F99" i="1"/>
  <c r="AK73" i="1"/>
  <c r="X87" i="1"/>
  <c r="BD22" i="1"/>
  <c r="F184" i="1"/>
  <c r="BD189" i="1"/>
  <c r="GM37" i="1"/>
  <c r="GO37" i="1"/>
  <c r="AJ26" i="1"/>
  <c r="W41" i="1"/>
  <c r="AK41" i="1"/>
  <c r="AD26" i="1"/>
  <c r="Q41" i="1"/>
  <c r="BB22" i="1"/>
  <c r="F172" i="1"/>
  <c r="BB189" i="1"/>
  <c r="CP121" i="1"/>
  <c r="O121" i="1" s="1"/>
  <c r="AC129" i="1"/>
  <c r="U73" i="1"/>
  <c r="F109" i="1"/>
  <c r="AS73" i="1"/>
  <c r="F104" i="1"/>
  <c r="AS159" i="1"/>
  <c r="GM85" i="1"/>
  <c r="GP85" i="1"/>
  <c r="W129" i="1"/>
  <c r="AJ119" i="1"/>
  <c r="AD119" i="1"/>
  <c r="Q129" i="1"/>
  <c r="P73" i="1"/>
  <c r="F90" i="1"/>
  <c r="AW87" i="1"/>
  <c r="CF73" i="1"/>
  <c r="AQ73" i="1"/>
  <c r="F97" i="1"/>
  <c r="GM35" i="1"/>
  <c r="CG26" i="1"/>
  <c r="AX41" i="1"/>
  <c r="GM28" i="1"/>
  <c r="GO28" i="1"/>
  <c r="AB41" i="1"/>
  <c r="BC22" i="1"/>
  <c r="BC189" i="1"/>
  <c r="F175" i="1"/>
  <c r="AE26" i="1"/>
  <c r="R41" i="1"/>
  <c r="GM125" i="1"/>
  <c r="GO125" i="1"/>
  <c r="F105" i="1"/>
  <c r="AT73" i="1"/>
  <c r="F96" i="1"/>
  <c r="AP73" i="1"/>
  <c r="AP159" i="1"/>
  <c r="AI119" i="1"/>
  <c r="V129" i="1"/>
  <c r="GP82" i="1"/>
  <c r="GM82" i="1"/>
  <c r="GM36" i="1"/>
  <c r="GO36" i="1"/>
  <c r="S87" i="1"/>
  <c r="AF73" i="1"/>
  <c r="AL87" i="1"/>
  <c r="GM38" i="1"/>
  <c r="GO38" i="1"/>
  <c r="GM33" i="1"/>
  <c r="GO33" i="1"/>
  <c r="AU26" i="1"/>
  <c r="F60" i="1"/>
  <c r="GM29" i="1"/>
  <c r="GO29" i="1"/>
  <c r="AO22" i="1"/>
  <c r="AO189" i="1"/>
  <c r="F163" i="1"/>
  <c r="AZ119" i="1"/>
  <c r="F140" i="1"/>
  <c r="AH119" i="1"/>
  <c r="U129" i="1"/>
  <c r="GM126" i="1"/>
  <c r="GO126" i="1"/>
  <c r="AG119" i="1"/>
  <c r="T129" i="1"/>
  <c r="GM81" i="1"/>
  <c r="GP81" i="1"/>
  <c r="CY121" i="1"/>
  <c r="X121" i="1" s="1"/>
  <c r="AK129" i="1" s="1"/>
  <c r="CZ121" i="1"/>
  <c r="Y121" i="1" s="1"/>
  <c r="AL129" i="1" s="1"/>
  <c r="AF129" i="1"/>
  <c r="V26" i="1"/>
  <c r="F64" i="1"/>
  <c r="V159" i="1"/>
  <c r="T73" i="1"/>
  <c r="F108" i="1"/>
  <c r="CE73" i="1"/>
  <c r="AV87" i="1"/>
  <c r="AY87" i="1"/>
  <c r="CH73" i="1"/>
  <c r="CG73" i="1"/>
  <c r="AX87" i="1"/>
  <c r="F101" i="1"/>
  <c r="R73" i="1"/>
  <c r="CI26" i="1"/>
  <c r="AZ41" i="1"/>
  <c r="AQ26" i="1"/>
  <c r="F51" i="1"/>
  <c r="AQ159" i="1"/>
  <c r="T26" i="1"/>
  <c r="F62" i="1"/>
  <c r="T159" i="1"/>
  <c r="AC26" i="1"/>
  <c r="CF41" i="1"/>
  <c r="CH41" i="1"/>
  <c r="P41" i="1"/>
  <c r="CE41" i="1"/>
  <c r="AF26" i="1"/>
  <c r="S41" i="1"/>
  <c r="BA26" i="1"/>
  <c r="F61" i="1"/>
  <c r="BA159" i="1"/>
  <c r="U26" i="1"/>
  <c r="F63" i="1"/>
  <c r="BA22" i="1" l="1"/>
  <c r="BA189" i="1"/>
  <c r="F179" i="1"/>
  <c r="P26" i="1"/>
  <c r="F44" i="1"/>
  <c r="CF26" i="1"/>
  <c r="AW41" i="1"/>
  <c r="T22" i="1"/>
  <c r="F180" i="1"/>
  <c r="T189" i="1"/>
  <c r="AZ26" i="1"/>
  <c r="F52" i="1"/>
  <c r="AZ159" i="1"/>
  <c r="AX73" i="1"/>
  <c r="F94" i="1"/>
  <c r="AV73" i="1"/>
  <c r="F92" i="1"/>
  <c r="V22" i="1"/>
  <c r="F182" i="1"/>
  <c r="V189" i="1"/>
  <c r="AL119" i="1"/>
  <c r="Y129" i="1"/>
  <c r="T119" i="1"/>
  <c r="F150" i="1"/>
  <c r="U119" i="1"/>
  <c r="F151" i="1"/>
  <c r="Y87" i="1"/>
  <c r="AL73" i="1"/>
  <c r="S73" i="1"/>
  <c r="F102" i="1"/>
  <c r="R26" i="1"/>
  <c r="F55" i="1"/>
  <c r="R159" i="1"/>
  <c r="CC41" i="1"/>
  <c r="AX26" i="1"/>
  <c r="AX159" i="1"/>
  <c r="F48" i="1"/>
  <c r="AW73" i="1"/>
  <c r="F93" i="1"/>
  <c r="W119" i="1"/>
  <c r="F153" i="1"/>
  <c r="AC119" i="1"/>
  <c r="CF129" i="1"/>
  <c r="CH129" i="1"/>
  <c r="P129" i="1"/>
  <c r="CE129" i="1"/>
  <c r="BB18" i="1"/>
  <c r="F202" i="1"/>
  <c r="W26" i="1"/>
  <c r="F65" i="1"/>
  <c r="W159" i="1"/>
  <c r="BD18" i="1"/>
  <c r="F214" i="1"/>
  <c r="O87" i="1"/>
  <c r="AB73" i="1"/>
  <c r="AZ73" i="1"/>
  <c r="F98" i="1"/>
  <c r="BA119" i="1"/>
  <c r="F149" i="1"/>
  <c r="Y26" i="1"/>
  <c r="Y159" i="1"/>
  <c r="F68" i="1"/>
  <c r="U159" i="1"/>
  <c r="S26" i="1"/>
  <c r="F56" i="1"/>
  <c r="CE26" i="1"/>
  <c r="AV41" i="1"/>
  <c r="CH26" i="1"/>
  <c r="AY41" i="1"/>
  <c r="AQ22" i="1"/>
  <c r="AQ189" i="1"/>
  <c r="F169" i="1"/>
  <c r="AY73" i="1"/>
  <c r="F95" i="1"/>
  <c r="AF119" i="1"/>
  <c r="S129" i="1"/>
  <c r="AK119" i="1"/>
  <c r="X129" i="1"/>
  <c r="AO18" i="1"/>
  <c r="F193" i="1"/>
  <c r="V119" i="1"/>
  <c r="F152" i="1"/>
  <c r="AP22" i="1"/>
  <c r="F168" i="1"/>
  <c r="G16" i="2" s="1"/>
  <c r="G18" i="2" s="1"/>
  <c r="AP189" i="1"/>
  <c r="BC18" i="1"/>
  <c r="F205" i="1"/>
  <c r="AB26" i="1"/>
  <c r="O41" i="1"/>
  <c r="CA41" i="1"/>
  <c r="Q119" i="1"/>
  <c r="F141" i="1"/>
  <c r="AS22" i="1"/>
  <c r="F176" i="1"/>
  <c r="E16" i="2" s="1"/>
  <c r="AS189" i="1"/>
  <c r="GM121" i="1"/>
  <c r="CA129" i="1" s="1"/>
  <c r="GO121" i="1"/>
  <c r="CC129" i="1" s="1"/>
  <c r="AB129" i="1"/>
  <c r="Q26" i="1"/>
  <c r="F53" i="1"/>
  <c r="Q159" i="1"/>
  <c r="AK26" i="1"/>
  <c r="X41" i="1"/>
  <c r="F113" i="1"/>
  <c r="X73" i="1"/>
  <c r="CD87" i="1"/>
  <c r="CA87" i="1"/>
  <c r="AE119" i="1"/>
  <c r="R129" i="1"/>
  <c r="AU119" i="1"/>
  <c r="F148" i="1"/>
  <c r="AU87" i="1" l="1"/>
  <c r="CD73" i="1"/>
  <c r="O129" i="1"/>
  <c r="AB119" i="1"/>
  <c r="CA119" i="1"/>
  <c r="AR129" i="1"/>
  <c r="E18" i="2"/>
  <c r="CA26" i="1"/>
  <c r="AR41" i="1"/>
  <c r="X119" i="1"/>
  <c r="F155" i="1"/>
  <c r="S119" i="1"/>
  <c r="F144" i="1"/>
  <c r="U22" i="1"/>
  <c r="F181" i="1"/>
  <c r="U189" i="1"/>
  <c r="Y22" i="1"/>
  <c r="F186" i="1"/>
  <c r="Y189" i="1"/>
  <c r="W22" i="1"/>
  <c r="F183" i="1"/>
  <c r="W189" i="1"/>
  <c r="P119" i="1"/>
  <c r="F132" i="1"/>
  <c r="CF119" i="1"/>
  <c r="AW129" i="1"/>
  <c r="R22" i="1"/>
  <c r="R189" i="1"/>
  <c r="F173" i="1"/>
  <c r="Y73" i="1"/>
  <c r="F114" i="1"/>
  <c r="AZ22" i="1"/>
  <c r="F170" i="1"/>
  <c r="AZ189" i="1"/>
  <c r="AW26" i="1"/>
  <c r="F47" i="1"/>
  <c r="AW159" i="1"/>
  <c r="P159" i="1"/>
  <c r="BA18" i="1"/>
  <c r="F209" i="1"/>
  <c r="F143" i="1"/>
  <c r="R119" i="1"/>
  <c r="CA73" i="1"/>
  <c r="AR87" i="1"/>
  <c r="F67" i="1"/>
  <c r="X26" i="1"/>
  <c r="X159" i="1"/>
  <c r="Q22" i="1"/>
  <c r="Q189" i="1"/>
  <c r="F171" i="1"/>
  <c r="CC119" i="1"/>
  <c r="AT129" i="1"/>
  <c r="AS18" i="1"/>
  <c r="F206" i="1"/>
  <c r="O26" i="1"/>
  <c r="F43" i="1"/>
  <c r="O159" i="1"/>
  <c r="AP18" i="1"/>
  <c r="F198" i="1"/>
  <c r="AQ18" i="1"/>
  <c r="F199" i="1"/>
  <c r="AY26" i="1"/>
  <c r="F49" i="1"/>
  <c r="AV26" i="1"/>
  <c r="F46" i="1"/>
  <c r="AV159" i="1"/>
  <c r="S159" i="1"/>
  <c r="O73" i="1"/>
  <c r="F89" i="1"/>
  <c r="CE119" i="1"/>
  <c r="AV129" i="1"/>
  <c r="AY129" i="1"/>
  <c r="CH119" i="1"/>
  <c r="AX22" i="1"/>
  <c r="F166" i="1"/>
  <c r="AX189" i="1"/>
  <c r="CC26" i="1"/>
  <c r="AT41" i="1"/>
  <c r="Y119" i="1"/>
  <c r="F156" i="1"/>
  <c r="V18" i="1"/>
  <c r="F212" i="1"/>
  <c r="T18" i="1"/>
  <c r="F210" i="1"/>
  <c r="AT26" i="1" l="1"/>
  <c r="F59" i="1"/>
  <c r="AT159" i="1"/>
  <c r="AX18" i="1"/>
  <c r="F196" i="1"/>
  <c r="AY119" i="1"/>
  <c r="F137" i="1"/>
  <c r="AV22" i="1"/>
  <c r="F164" i="1"/>
  <c r="AV189" i="1"/>
  <c r="O22" i="1"/>
  <c r="F161" i="1"/>
  <c r="O189" i="1"/>
  <c r="Q18" i="1"/>
  <c r="F201" i="1"/>
  <c r="X22" i="1"/>
  <c r="X189" i="1"/>
  <c r="F185" i="1"/>
  <c r="AW189" i="1"/>
  <c r="AW22" i="1"/>
  <c r="F165" i="1"/>
  <c r="Y18" i="1"/>
  <c r="F216" i="1"/>
  <c r="F69" i="1"/>
  <c r="AR26" i="1"/>
  <c r="AR159" i="1"/>
  <c r="AR119" i="1"/>
  <c r="F157" i="1"/>
  <c r="AV119" i="1"/>
  <c r="F134" i="1"/>
  <c r="S22" i="1"/>
  <c r="F174" i="1"/>
  <c r="J16" i="2" s="1"/>
  <c r="J18" i="2" s="1"/>
  <c r="S189" i="1"/>
  <c r="AY159" i="1"/>
  <c r="F147" i="1"/>
  <c r="AT119" i="1"/>
  <c r="F115" i="1"/>
  <c r="AR73" i="1"/>
  <c r="P22" i="1"/>
  <c r="F162" i="1"/>
  <c r="P189" i="1"/>
  <c r="AZ18" i="1"/>
  <c r="F200" i="1"/>
  <c r="R18" i="1"/>
  <c r="F203" i="1"/>
  <c r="AW119" i="1"/>
  <c r="F135" i="1"/>
  <c r="W18" i="1"/>
  <c r="F213" i="1"/>
  <c r="U18" i="1"/>
  <c r="F211" i="1"/>
  <c r="O119" i="1"/>
  <c r="F131" i="1"/>
  <c r="AU73" i="1"/>
  <c r="F106" i="1"/>
  <c r="AU159" i="1"/>
  <c r="AU22" i="1" l="1"/>
  <c r="F178" i="1"/>
  <c r="H16" i="2" s="1"/>
  <c r="H18" i="2" s="1"/>
  <c r="AU189" i="1"/>
  <c r="AY22" i="1"/>
  <c r="AY189" i="1"/>
  <c r="F167" i="1"/>
  <c r="AR22" i="1"/>
  <c r="AR189" i="1"/>
  <c r="F187" i="1"/>
  <c r="AV18" i="1"/>
  <c r="F194" i="1"/>
  <c r="P18" i="1"/>
  <c r="F192" i="1"/>
  <c r="S18" i="1"/>
  <c r="F204" i="1"/>
  <c r="AW18" i="1"/>
  <c r="F195" i="1"/>
  <c r="X18" i="1"/>
  <c r="F215" i="1"/>
  <c r="O18" i="1"/>
  <c r="F191" i="1"/>
  <c r="AT22" i="1"/>
  <c r="F177" i="1"/>
  <c r="F16" i="2" s="1"/>
  <c r="AT189" i="1"/>
  <c r="AT18" i="1" l="1"/>
  <c r="F207" i="1"/>
  <c r="AR18" i="1"/>
  <c r="F217" i="1"/>
  <c r="F218" i="1" s="1"/>
  <c r="F18" i="2"/>
  <c r="I16" i="2"/>
  <c r="I18" i="2" s="1"/>
  <c r="AY18" i="1"/>
  <c r="F197" i="1"/>
  <c r="AU18" i="1"/>
  <c r="F208" i="1"/>
  <c r="F219" i="1" l="1"/>
  <c r="F220" i="1"/>
</calcChain>
</file>

<file path=xl/sharedStrings.xml><?xml version="1.0" encoding="utf-8"?>
<sst xmlns="http://schemas.openxmlformats.org/spreadsheetml/2006/main" count="2562" uniqueCount="355">
  <si>
    <t>Smeta.RU  (495) 974-1589</t>
  </si>
  <si>
    <t>_PS_</t>
  </si>
  <si>
    <t>Smeta.RU</t>
  </si>
  <si>
    <t/>
  </si>
  <si>
    <t>ТП-522. Реконструкция. Замена 8 панелей в РУ-0,4 кВ Корректировка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</si>
  <si>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</si>
  <si>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</si>
  <si>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</si>
  <si>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</si>
  <si>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</si>
  <si>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</si>
  <si>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</si>
  <si>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</si>
  <si>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</si>
  <si>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</si>
  <si>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</si>
  <si>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</si>
  <si>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</si>
  <si>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</si>
  <si>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</si>
  <si>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ТП-522. Реконструкция. Замена 8 панелей в РУ-0,4 кВ.</t>
  </si>
  <si>
    <t>Новый раздел</t>
  </si>
  <si>
    <t>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</si>
  <si>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</si>
  <si>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</si>
  <si>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</si>
  <si>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</si>
  <si>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</si>
  <si>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</si>
  <si>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</si>
  <si>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</si>
  <si>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</si>
  <si>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</si>
  <si>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</si>
  <si>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</si>
  <si>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</si>
  <si>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</si>
  <si>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</si>
  <si>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</si>
  <si>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</si>
  <si>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</si>
  <si>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</si>
  <si>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</si>
  <si>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)*1,2)*0,3</t>
  </si>
  <si>
    <t>Поправка: ТСН-2001.4. О.П. тб1. п.1  Поправка: ТСН-2001.4. О.П. п.6.1.1.3</t>
  </si>
  <si>
    <t>4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</si>
  <si>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</si>
  <si>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</si>
  <si>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</si>
  <si>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</si>
  <si>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5</t>
  </si>
  <si>
    <t>4.8-78-1</t>
  </si>
  <si>
    <t>КАБЕЛИ ДО 35 КВ, ПРОКЛАДЫВАЕМЫЕ С КРЕПЛЕНИЕМ НАКЛАДНЫМИ СКОБАМИ, КАБЕЛЬ, МАССА 1 М: ДО 0,5 КГ (Контрольные)</t>
  </si>
  <si>
    <t>ТСН-2001.4. База. Сб.8, т.78, поз.1</t>
  </si>
  <si>
    <t>ТСН-2001.4-8. 8-73...8-80</t>
  </si>
  <si>
    <t>ТСН-2001.4-8-3</t>
  </si>
  <si>
    <t>6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</si>
  <si>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</si>
  <si>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</si>
  <si>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</si>
  <si>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7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</si>
  <si>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</si>
  <si>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8</t>
  </si>
  <si>
    <t>4.8-79-4</t>
  </si>
  <si>
    <t>КАБЕЛИ ДО 35 КВ, ПРОКЛАДЫВАЕМЫЕ ПО УСТАНОВЛЕННЫМ КОНСТРУКЦИЯМ И ЛОТКАМ, КАБЕЛЬ С КРЕПЛЕНИЕМ НА ПОВОРОТАХ И В КОНЦЕ ТРАССЫ, МАССА 1 М: ДО 6 КГ</t>
  </si>
  <si>
    <t>ТСН-2001.4. База. Сб.8, т.79, поз.4</t>
  </si>
  <si>
    <t>9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</si>
  <si>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6 КГ</t>
  </si>
  <si>
    <t>)*0,3)*1,2</t>
  </si>
  <si>
    <t>Поправка: ТСН-2001.4. О.П. п.6.1.1.3  Поправка: ТСН-2001.4. О.П. тб1. п.1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</si>
  <si>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</si>
  <si>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</si>
  <si>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</si>
  <si>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</si>
  <si>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</si>
  <si>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11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</si>
  <si>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</si>
  <si>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</si>
  <si>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</si>
  <si>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</si>
  <si>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</si>
  <si>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12</t>
  </si>
  <si>
    <t>4.8-98-4</t>
  </si>
  <si>
    <t>МУФТЫ СОЕДИНИТЕЛЬНЫЕ ЭПОКСИДНЫЕ, МУФТА ДЛЯ КАБЕЛЯ, НАПРЯЖЕНИЕ ДО 1 КВ, СЕЧЕНИЕ: ДО 185 ММ2</t>
  </si>
  <si>
    <t>ТСН-2001.4. База. Сб.8, т.98, поз.4</t>
  </si>
  <si>
    <t>ТСН-2001.4-8. 8-97, 8-98</t>
  </si>
  <si>
    <t>ТСН-2001.4-8-8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</si>
  <si>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</si>
  <si>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</si>
  <si>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</si>
  <si>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</si>
  <si>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</si>
  <si>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</si>
  <si>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</si>
  <si>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</si>
  <si>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</si>
  <si>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</si>
  <si>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</si>
  <si>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</si>
  <si>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</si>
  <si>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</si>
  <si>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</si>
  <si>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</si>
  <si>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</si>
  <si>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</si>
  <si>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</si>
  <si>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</si>
  <si>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</si>
  <si>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</si>
  <si>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</si>
  <si>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</si>
  <si>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</si>
  <si>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</si>
  <si>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</si>
  <si>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</si>
  <si>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</si>
  <si>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</si>
  <si>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</si>
  <si>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</si>
  <si>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</si>
  <si>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</si>
  <si>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</si>
  <si>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</si>
  <si>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</si>
  <si>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</si>
  <si>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</si>
  <si>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</si>
  <si>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</si>
  <si>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</si>
  <si>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</si>
  <si>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</si>
  <si>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</si>
  <si>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</si>
  <si>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</si>
  <si>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</si>
  <si>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</si>
  <si>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</si>
  <si>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</si>
  <si>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</si>
  <si>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</si>
  <si>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</si>
  <si>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работы.</t>
  </si>
  <si>
    <t>13</t>
  </si>
  <si>
    <t>5.1-23-1</t>
  </si>
  <si>
    <t>РАЗЪЕДИНИТЕЛЬ ТРЕХПОЛЮСНЫЙ НАПРЯЖЕНИЕМ КВ, ДО: 20</t>
  </si>
  <si>
    <t>ТСН-2001.5. База. Сб.1, т.23, поз.1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</si>
  <si>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</si>
  <si>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</si>
  <si>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</si>
  <si>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</si>
  <si>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</si>
  <si>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14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</si>
  <si>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</si>
  <si>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</si>
  <si>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</si>
  <si>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15</t>
  </si>
  <si>
    <t>5.1-168-1</t>
  </si>
  <si>
    <t>ШИНЫ НАПРЯЖЕНИЕМ ДО 11 КВ</t>
  </si>
  <si>
    <t>испытание</t>
  </si>
  <si>
    <t>ТСН-2001.5. База. Сб.1, т.168, поз.1</t>
  </si>
  <si>
    <t>16</t>
  </si>
  <si>
    <t>5.1-88-2</t>
  </si>
  <si>
    <t>УСТРОЙСТВО АВР ТРАНСФОРМАТОРОВ И ЛИНИЙ С РЕЗЕРВИРОВАНИЕМ СЕКЦИЙ 2 ШТ</t>
  </si>
  <si>
    <t>ТСН-2001.5. База. Сб.1, т.88, поз.2</t>
  </si>
  <si>
    <t>17</t>
  </si>
  <si>
    <t>5.1-141-2</t>
  </si>
  <si>
    <t>ФУНКЦИОНАЛЬНАЯ ГРУППА УПРАВЛЕНИЯ РЕЛЕЙНО-КОНТАКТНАЯ С ОБЩИМ ЧИСЛОМ ВНЕШНИХ БЛОКИРОВОЧНЫХ СВЯЗЕЙ ДО 5</t>
  </si>
  <si>
    <t>ТСН-2001.5. База. Сб.1, т.141, поз.2</t>
  </si>
  <si>
    <t>)*1,2)*0,8</t>
  </si>
  <si>
    <t>Поправка: ТСН-2001.5. р2. тб1. п. 6  Поправка: ТСН-2001.5. р2. п.2.5</t>
  </si>
  <si>
    <t>18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</si>
  <si>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</si>
  <si>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</si>
  <si>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</si>
  <si>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</si>
  <si>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19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</si>
  <si>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</si>
  <si>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</si>
  <si>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</si>
  <si>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</si>
  <si>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20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</si>
  <si>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</si>
  <si>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</si>
  <si>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</si>
  <si>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</si>
  <si>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21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</si>
  <si>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</si>
  <si>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</si>
  <si>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</si>
  <si>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</si>
  <si>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22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</si>
  <si>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</si>
  <si>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</si>
  <si>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</si>
  <si>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23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</si>
  <si>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</si>
  <si>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</si>
  <si>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</si>
  <si>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Материалы, не учтенные ценником и оборудование.</t>
  </si>
  <si>
    <t>24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</si>
  <si>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</si>
  <si>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</si>
  <si>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</si>
  <si>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</si>
  <si>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</si>
  <si>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</si>
  <si>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</si>
  <si>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25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</si>
  <si>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</si>
  <si>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</si>
  <si>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</si>
  <si>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26</t>
  </si>
  <si>
    <t>1.23-7-219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</si>
  <si>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4Х185 ММ2</t>
  </si>
  <si>
    <t>ТСН-2001.1. База. Р.23, о.7, поз.219</t>
  </si>
  <si>
    <t>27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</si>
  <si>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</si>
  <si>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</si>
  <si>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</si>
  <si>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</si>
  <si>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28</t>
  </si>
  <si>
    <t>1.21-5-251</t>
  </si>
  <si>
    <t>МУФТЫ СОЕДИНИТЕЛЬНЫЕ ТЕРМОУСАЖИВАЕМЫЕ ДЛЯ СОЕДИНЕНИЯ СИЛОВЫХ КАБЕЛЕЙ НА НАПРЯЖЕНИЕ 1 КВ, БЕЗ СОЕДИНИТЕЛЕЙ, ТИП 3СТП 1-240, СЕЧЕНИЕ ЖИЛ 150-240 ММ2</t>
  </si>
  <si>
    <t>ТСН-2001.1. База. Р.21, о.5, поз.251</t>
  </si>
  <si>
    <t>29</t>
  </si>
  <si>
    <t>1.23-16-1</t>
  </si>
  <si>
    <t>ШИНЫ АЛЮМИНИЕВЫЕ ПРЯМОУГОЛЬНОГО СЕЧЕНИЯ</t>
  </si>
  <si>
    <t>ТСН-2001.1. База. Р.23, о.16, поз.1</t>
  </si>
  <si>
    <t>30</t>
  </si>
  <si>
    <t>Накладная №12 от 18.07.2019.   Накладная №10 от 10.08.2018.</t>
  </si>
  <si>
    <t>Панели ЩО-70 (8 панелей).  Примечание: ЩО-70-1-54 - 2шт.; ЩО-70-1-76 - 1шт.; ЩО-70-1-05 - 5шт.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</si>
  <si>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</si>
  <si>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</si>
  <si>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</si>
  <si>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</si>
  <si>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</si>
  <si>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</si>
  <si>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</si>
  <si>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</si>
  <si>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</si>
  <si>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</si>
  <si>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</si>
  <si>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</si>
  <si>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</si>
  <si>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</si>
  <si>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</si>
  <si>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</si>
  <si>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п.6.1.1.3  Наименование: Демонтаж оборудования, предназначенного в лом</t>
  </si>
  <si>
    <t>Поправка: ТСН-2001.4. О.П. п.6.1.1.3  Наименование: Демонтаж оборудования, предназначенного в лом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</si>
  <si>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</si>
  <si>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ТСН-2001.5. р2. тб1. п. 6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</si>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</sst>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  <xf numFmtId="0" fontId="18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3"/>
  <sheetViews>
    <sheetView tabSelected="1" topLeftCell="A250" zoomScaleNormal="100" workbookViewId="0">
      <selection activeCell="J266" sqref="J266:K266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3.140625" bestFit="1" customWidth="1"/>
    <col min="7" max="7" width="8.7109375" bestFit="1" customWidth="1"/>
    <col min="8" max="8" width="8.28515625" bestFit="1" customWidth="1"/>
    <col min="9" max="9" width="13.140625" bestFit="1" customWidth="1"/>
    <col min="10" max="10" width="9.140625" bestFit="1" customWidth="1"/>
    <col min="11" max="11" width="13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37" x14ac:dyDescent="0.2">
      <c r="A1" s="9" t="str">
        <f>Source!B1</f>
        <v>Smeta.RU  (495) 974-1589</v>
      </c>
    </row>
    <row r="2" spans="1:37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7" t="s">
        <v>253</v>
      </c>
      <c r="K2" s="67"/>
    </row>
    <row r="3" spans="1:37" ht="16.5" x14ac:dyDescent="0.25">
      <c r="A3" s="12"/>
      <c r="B3" s="70" t="s">
        <v>251</v>
      </c>
      <c r="C3" s="70"/>
      <c r="D3" s="70"/>
      <c r="E3" s="70"/>
      <c r="F3" s="11"/>
      <c r="G3" s="70" t="s">
        <v>252</v>
      </c>
      <c r="H3" s="70"/>
      <c r="I3" s="70"/>
      <c r="J3" s="70"/>
      <c r="K3" s="70"/>
    </row>
    <row r="4" spans="1:37" ht="14.25" x14ac:dyDescent="0.2">
      <c r="A4" s="11"/>
      <c r="B4" s="52"/>
      <c r="C4" s="52"/>
      <c r="D4" s="52"/>
      <c r="E4" s="52"/>
      <c r="F4" s="11"/>
      <c r="G4" s="52" t="s">
        <v>255</v>
      </c>
      <c r="H4" s="52"/>
      <c r="I4" s="52"/>
      <c r="J4" s="52"/>
      <c r="K4" s="52"/>
    </row>
    <row r="5" spans="1:37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37" ht="14.25" x14ac:dyDescent="0.2">
      <c r="A6" s="15"/>
      <c r="B6" s="52" t="str">
        <f>CONCATENATE("______________________ ", IF(Source!AL12&lt;&gt;"", Source!AL12, ""))</f>
        <v xml:space="preserve">______________________ </v>
      </c>
      <c r="C6" s="52"/>
      <c r="D6" s="52"/>
      <c r="E6" s="52"/>
      <c r="F6" s="11"/>
      <c r="G6" s="52" t="str">
        <f>CONCATENATE("______________________ ", IF(Source!AH12&lt;&gt;"", Source!AH12, ""))</f>
        <v>______________________ А.П. Воробьева</v>
      </c>
      <c r="H6" s="52"/>
      <c r="I6" s="52"/>
      <c r="J6" s="52"/>
      <c r="K6" s="52"/>
    </row>
    <row r="7" spans="1:37" ht="24" customHeight="1" x14ac:dyDescent="0.2">
      <c r="A7" s="16"/>
      <c r="B7" s="66" t="s">
        <v>254</v>
      </c>
      <c r="C7" s="66"/>
      <c r="D7" s="66"/>
      <c r="E7" s="66"/>
      <c r="F7" s="11"/>
      <c r="G7" s="66" t="s">
        <v>254</v>
      </c>
      <c r="H7" s="66"/>
      <c r="I7" s="66"/>
      <c r="J7" s="66"/>
      <c r="K7" s="66"/>
    </row>
    <row r="9" spans="1:37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7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37" ht="15.75" x14ac:dyDescent="0.25">
      <c r="A11" s="68" t="str">
        <f>CONCATENATE( "ЛОКАЛЬНАЯ СМЕТА.   ",IF(Source!F12&lt;&gt;"Новый объект", Source!F12, ""))</f>
        <v>ЛОКАЛЬНАЯ СМЕТА.   ТП-522. Реконструкция. Замена 8 панелей в РУ-0,4 кВ.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AK11" s="21" t="str">
        <f>CONCATENATE( "ЛОКАЛЬНАЯ СМЕТА № ",IF(Source!F12&lt;&gt;"Новый объект", Source!F12, ""))</f>
        <v>ЛОКАЛЬНАЯ СМЕТА № ТП-522. Реконструкция. Замена 8 панелей в РУ-0,4 кВ.</v>
      </c>
    </row>
    <row r="12" spans="1:37" x14ac:dyDescent="0.2">
      <c r="A12" s="62" t="s">
        <v>256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37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37" ht="18" hidden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37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7" ht="18" x14ac:dyDescent="0.25">
      <c r="A16" s="64" t="str">
        <f>IF(Source!G12&lt;&gt;"Новый объект", Source!G12, "")</f>
        <v>ТП-522. Реконструкция. Замена 8 панелей в РУ-0,4 кВ.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37" x14ac:dyDescent="0.2">
      <c r="A17" s="62" t="s">
        <v>257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9" t="str">
        <f>CONCATENATE( "Основание: чертежи № ", Source!J12)</f>
        <v xml:space="preserve">Основание: чертежи № 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258</v>
      </c>
      <c r="J20" s="17" t="s">
        <v>259</v>
      </c>
      <c r="K20" s="11"/>
    </row>
    <row r="21" spans="1:37" ht="15" x14ac:dyDescent="0.25">
      <c r="A21" s="11"/>
      <c r="B21" s="11"/>
      <c r="C21" s="11"/>
      <c r="D21" s="11"/>
      <c r="E21" s="11"/>
      <c r="F21" s="52" t="s">
        <v>260</v>
      </c>
      <c r="G21" s="52"/>
      <c r="H21" s="52"/>
      <c r="I21" s="18">
        <f>SUM(O1:O263)/1000</f>
        <v>1599.1186900000002</v>
      </c>
      <c r="J21" s="145">
        <f>(Source!F220/1000)</f>
        <v>2320.36364</v>
      </c>
      <c r="K21" s="33" t="s">
        <v>290</v>
      </c>
    </row>
    <row r="22" spans="1:37" ht="14.25" x14ac:dyDescent="0.2">
      <c r="A22" s="11"/>
      <c r="B22" s="11"/>
      <c r="C22" s="11"/>
      <c r="D22" s="11"/>
      <c r="E22" s="11"/>
      <c r="F22" s="52" t="s">
        <v>261</v>
      </c>
      <c r="G22" s="52"/>
      <c r="H22" s="52"/>
      <c r="I22" s="18">
        <f>SUM(X1:X263)/1000</f>
        <v>0</v>
      </c>
      <c r="J22" s="18">
        <f>(Source!F206)/1000</f>
        <v>0</v>
      </c>
      <c r="K22" s="11" t="s">
        <v>290</v>
      </c>
    </row>
    <row r="23" spans="1:37" ht="14.25" x14ac:dyDescent="0.2">
      <c r="A23" s="11"/>
      <c r="B23" s="11"/>
      <c r="C23" s="11"/>
      <c r="D23" s="11"/>
      <c r="E23" s="11"/>
      <c r="F23" s="52" t="s">
        <v>262</v>
      </c>
      <c r="G23" s="52"/>
      <c r="H23" s="52"/>
      <c r="I23" s="18">
        <f>SUM(Y1:Y263)/1000</f>
        <v>29.919109999999996</v>
      </c>
      <c r="J23" s="18">
        <f>(Source!F207)/1000</f>
        <v>258.02184</v>
      </c>
      <c r="K23" s="11" t="s">
        <v>290</v>
      </c>
    </row>
    <row r="24" spans="1:37" ht="14.25" x14ac:dyDescent="0.2">
      <c r="A24" s="11"/>
      <c r="B24" s="11"/>
      <c r="C24" s="11"/>
      <c r="D24" s="11"/>
      <c r="E24" s="11"/>
      <c r="F24" s="52" t="s">
        <v>263</v>
      </c>
      <c r="G24" s="52"/>
      <c r="H24" s="52"/>
      <c r="I24" s="18">
        <f>SUM(Z1:Z263)/1000</f>
        <v>0</v>
      </c>
      <c r="J24" s="18">
        <f>(Source!F198)/1000</f>
        <v>0</v>
      </c>
      <c r="K24" s="11" t="s">
        <v>290</v>
      </c>
    </row>
    <row r="25" spans="1:37" ht="14.25" x14ac:dyDescent="0.2">
      <c r="A25" s="11"/>
      <c r="B25" s="11"/>
      <c r="C25" s="11"/>
      <c r="D25" s="11"/>
      <c r="E25" s="11"/>
      <c r="F25" s="52" t="s">
        <v>232</v>
      </c>
      <c r="G25" s="52"/>
      <c r="H25" s="52"/>
      <c r="I25" s="18">
        <f>SUM(AA1:AA263)/1000</f>
        <v>1569.19958</v>
      </c>
      <c r="J25" s="18">
        <f>(Source!F208+Source!F209)/1000</f>
        <v>1675.6145300000001</v>
      </c>
      <c r="K25" s="11" t="s">
        <v>290</v>
      </c>
    </row>
    <row r="26" spans="1:37" ht="14.25" x14ac:dyDescent="0.2">
      <c r="A26" s="11"/>
      <c r="B26" s="11"/>
      <c r="C26" s="11"/>
      <c r="D26" s="11"/>
      <c r="E26" s="11"/>
      <c r="F26" s="52" t="s">
        <v>264</v>
      </c>
      <c r="G26" s="52"/>
      <c r="H26" s="52"/>
      <c r="I26" s="18">
        <f>SUM(W1:W263)/1000</f>
        <v>5.5128600000000008</v>
      </c>
      <c r="J26" s="18">
        <f>(Source!F204+ Source!F203)/1000</f>
        <v>126.63788000000001</v>
      </c>
      <c r="K26" s="11" t="s">
        <v>290</v>
      </c>
    </row>
    <row r="27" spans="1:37" ht="14.25" hidden="1" x14ac:dyDescent="0.2">
      <c r="A27" s="11"/>
      <c r="B27" s="11"/>
      <c r="C27" s="11"/>
      <c r="D27" s="11"/>
      <c r="E27" s="11"/>
      <c r="F27" s="61" t="s">
        <v>265</v>
      </c>
      <c r="G27" s="61"/>
      <c r="H27" s="61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8" t="s">
        <v>126</v>
      </c>
      <c r="G28" s="59"/>
      <c r="H28" s="59"/>
      <c r="I28" s="18">
        <f>SUM(AE1:AE263)/1000</f>
        <v>0</v>
      </c>
      <c r="J28" s="18">
        <f>SUM(AF1:AF263)/1000</f>
        <v>0</v>
      </c>
      <c r="K28" s="11" t="s">
        <v>290</v>
      </c>
    </row>
    <row r="29" spans="1:37" ht="14.25" x14ac:dyDescent="0.2">
      <c r="A29" s="60" t="s">
        <v>277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AK29" s="22" t="s">
        <v>277</v>
      </c>
    </row>
    <row r="30" spans="1:37" ht="71.25" x14ac:dyDescent="0.2">
      <c r="A30" s="19" t="s">
        <v>266</v>
      </c>
      <c r="B30" s="19" t="s">
        <v>267</v>
      </c>
      <c r="C30" s="19" t="s">
        <v>268</v>
      </c>
      <c r="D30" s="19" t="s">
        <v>269</v>
      </c>
      <c r="E30" s="19" t="s">
        <v>270</v>
      </c>
      <c r="F30" s="19" t="s">
        <v>271</v>
      </c>
      <c r="G30" s="20" t="s">
        <v>272</v>
      </c>
      <c r="H30" s="20" t="s">
        <v>273</v>
      </c>
      <c r="I30" s="19" t="s">
        <v>274</v>
      </c>
      <c r="J30" s="19" t="s">
        <v>275</v>
      </c>
      <c r="K30" s="19" t="s">
        <v>276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7" t="str">
        <f>CONCATENATE("Локальная смета: ",IF(Source!G20&lt;&gt;"Новая локальная смета", Source!G20, ""))</f>
        <v>Локальная смета: ТП-522. Реконструкция. Замена 8 панелей в РУ-0,4 кВ.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5" spans="1:27" ht="16.5" x14ac:dyDescent="0.25">
      <c r="A35" s="57" t="str">
        <f>CONCATENATE("Раздел: ",IF(Source!G24&lt;&gt;"Новый раздел", Source!G24, ""))</f>
        <v>Раздел: Электромонтажные работы.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27" ht="42.75" x14ac:dyDescent="0.2">
      <c r="A36" s="23" t="str">
        <f>Source!E28</f>
        <v>1</v>
      </c>
      <c r="B36" s="24" t="str">
        <f>Source!F28</f>
        <v>4.8-64-3</v>
      </c>
      <c r="C36" s="24" t="s">
        <v>25</v>
      </c>
      <c r="D36" s="25" t="str">
        <f>Source!H28</f>
        <v>т</v>
      </c>
      <c r="E36" s="10">
        <f>Source!I28</f>
        <v>0.312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302.27999999999997</v>
      </c>
      <c r="R36">
        <f>Source!X28</f>
        <v>5067.58</v>
      </c>
      <c r="S36">
        <f>ROUND((Source!DO28/100)*ROUND((ROUND((Source!AF28*Source!AV28*Source!I28),2)),2), 2)</f>
        <v>177.66</v>
      </c>
      <c r="T36">
        <f>Source!Y28</f>
        <v>2698.32</v>
      </c>
      <c r="U36">
        <f>ROUND((175/100)*ROUND((ROUND((Source!AE28*Source!AV28*Source!I28),2)),2), 2)</f>
        <v>45.61</v>
      </c>
      <c r="V36">
        <f>ROUND((157/100)*ROUND(ROUND((ROUND((Source!AE28*Source!AV28*Source!I28),2)*Source!BS28),2), 2), 2)</f>
        <v>1015.49</v>
      </c>
    </row>
    <row r="37" spans="1:27" ht="14.25" x14ac:dyDescent="0.2">
      <c r="A37" s="23"/>
      <c r="B37" s="24"/>
      <c r="C37" s="24" t="s">
        <v>278</v>
      </c>
      <c r="D37" s="25"/>
      <c r="E37" s="10"/>
      <c r="F37" s="27">
        <f>Source!AO28</f>
        <v>676.43</v>
      </c>
      <c r="G37" s="26" t="str">
        <f>Source!DG28</f>
        <v>)*1,2</v>
      </c>
      <c r="H37" s="10">
        <f>Source!AV28</f>
        <v>1.0469999999999999</v>
      </c>
      <c r="I37" s="28">
        <f>ROUND((ROUND((Source!AF28*Source!AV28*Source!I28),2)),2)</f>
        <v>265.16000000000003</v>
      </c>
      <c r="J37" s="10">
        <f>IF(Source!BA28&lt;&gt; 0, Source!BA28, 1)</f>
        <v>24.82</v>
      </c>
      <c r="K37" s="28">
        <f>Source!S28</f>
        <v>6581.27</v>
      </c>
      <c r="W37">
        <f>I37</f>
        <v>265.16000000000003</v>
      </c>
    </row>
    <row r="38" spans="1:27" ht="14.25" x14ac:dyDescent="0.2">
      <c r="A38" s="23"/>
      <c r="B38" s="24"/>
      <c r="C38" s="24" t="s">
        <v>279</v>
      </c>
      <c r="D38" s="25"/>
      <c r="E38" s="10"/>
      <c r="F38" s="27">
        <f>Source!AM28</f>
        <v>702.69</v>
      </c>
      <c r="G38" s="26" t="str">
        <f>Source!DE28</f>
        <v>)*1,2</v>
      </c>
      <c r="H38" s="10">
        <f>Source!AV28</f>
        <v>1.0469999999999999</v>
      </c>
      <c r="I38" s="28">
        <f>(ROUND((ROUND((((Source!ET28*1.2))*Source!AV28*Source!I28),2)),2)+ROUND((ROUND(((Source!AE28-((Source!EU28*1.2)))*Source!AV28*Source!I28),2)),2))</f>
        <v>275.45</v>
      </c>
      <c r="J38" s="10">
        <f>IF(Source!BB28&lt;&gt; 0, Source!BB28, 1)</f>
        <v>8.2100000000000009</v>
      </c>
      <c r="K38" s="28">
        <f>Source!Q28</f>
        <v>2261.44</v>
      </c>
    </row>
    <row r="39" spans="1:27" ht="14.25" x14ac:dyDescent="0.2">
      <c r="A39" s="23"/>
      <c r="B39" s="24"/>
      <c r="C39" s="24" t="s">
        <v>280</v>
      </c>
      <c r="D39" s="25"/>
      <c r="E39" s="10"/>
      <c r="F39" s="27">
        <f>Source!AN28</f>
        <v>66.48</v>
      </c>
      <c r="G39" s="26" t="str">
        <f>Source!DF28</f>
        <v>)*1,2</v>
      </c>
      <c r="H39" s="10">
        <f>Source!AV28</f>
        <v>1.0469999999999999</v>
      </c>
      <c r="I39" s="29">
        <f>ROUND((ROUND((Source!AE28*Source!AV28*Source!I28),2)),2)</f>
        <v>26.06</v>
      </c>
      <c r="J39" s="10">
        <f>IF(Source!BS28&lt;&gt; 0, Source!BS28, 1)</f>
        <v>24.82</v>
      </c>
      <c r="K39" s="29">
        <f>Source!R28</f>
        <v>646.80999999999995</v>
      </c>
      <c r="W39">
        <f>I39</f>
        <v>26.06</v>
      </c>
    </row>
    <row r="40" spans="1:27" ht="14.25" x14ac:dyDescent="0.2">
      <c r="A40" s="23"/>
      <c r="B40" s="24"/>
      <c r="C40" s="24" t="s">
        <v>281</v>
      </c>
      <c r="D40" s="25"/>
      <c r="E40" s="10"/>
      <c r="F40" s="27">
        <f>Source!AL28</f>
        <v>5453</v>
      </c>
      <c r="G40" s="26" t="str">
        <f>Source!DD28</f>
        <v/>
      </c>
      <c r="H40" s="10">
        <f>Source!AW28</f>
        <v>1</v>
      </c>
      <c r="I40" s="28">
        <f>ROUND((ROUND((Source!AC28*Source!AW28*Source!I28),2)),2)</f>
        <v>1701.34</v>
      </c>
      <c r="J40" s="10">
        <f>IF(Source!BC28&lt;&gt; 0, Source!BC28, 1)</f>
        <v>5.29</v>
      </c>
      <c r="K40" s="28">
        <f>Source!P28</f>
        <v>9000.09</v>
      </c>
    </row>
    <row r="41" spans="1:27" ht="14.25" x14ac:dyDescent="0.2">
      <c r="A41" s="23"/>
      <c r="B41" s="24"/>
      <c r="C41" s="24" t="s">
        <v>282</v>
      </c>
      <c r="D41" s="25" t="s">
        <v>283</v>
      </c>
      <c r="E41" s="10">
        <f>Source!DN28</f>
        <v>114</v>
      </c>
      <c r="F41" s="27"/>
      <c r="G41" s="26"/>
      <c r="H41" s="10"/>
      <c r="I41" s="28">
        <f>SUM(Q36:Q40)</f>
        <v>302.27999999999997</v>
      </c>
      <c r="J41" s="10">
        <f>Source!BZ28</f>
        <v>77</v>
      </c>
      <c r="K41" s="28">
        <f>SUM(R36:R40)</f>
        <v>5067.58</v>
      </c>
    </row>
    <row r="42" spans="1:27" ht="14.25" x14ac:dyDescent="0.2">
      <c r="A42" s="23"/>
      <c r="B42" s="24"/>
      <c r="C42" s="24" t="s">
        <v>284</v>
      </c>
      <c r="D42" s="25" t="s">
        <v>283</v>
      </c>
      <c r="E42" s="10">
        <f>Source!DO28</f>
        <v>67</v>
      </c>
      <c r="F42" s="27"/>
      <c r="G42" s="26"/>
      <c r="H42" s="10"/>
      <c r="I42" s="28">
        <f>SUM(S36:S41)</f>
        <v>177.66</v>
      </c>
      <c r="J42" s="10">
        <f>Source!CA28</f>
        <v>41</v>
      </c>
      <c r="K42" s="28">
        <f>SUM(T36:T41)</f>
        <v>2698.32</v>
      </c>
    </row>
    <row r="43" spans="1:27" ht="14.25" x14ac:dyDescent="0.2">
      <c r="A43" s="23"/>
      <c r="B43" s="24"/>
      <c r="C43" s="24" t="s">
        <v>285</v>
      </c>
      <c r="D43" s="25" t="s">
        <v>283</v>
      </c>
      <c r="E43" s="10">
        <f>175</f>
        <v>175</v>
      </c>
      <c r="F43" s="27"/>
      <c r="G43" s="26"/>
      <c r="H43" s="10"/>
      <c r="I43" s="28">
        <f>SUM(U36:U42)</f>
        <v>45.61</v>
      </c>
      <c r="J43" s="10">
        <f>157</f>
        <v>157</v>
      </c>
      <c r="K43" s="28">
        <f>SUM(V36:V42)</f>
        <v>1015.49</v>
      </c>
    </row>
    <row r="44" spans="1:27" ht="14.25" x14ac:dyDescent="0.2">
      <c r="A44" s="23"/>
      <c r="B44" s="24"/>
      <c r="C44" s="24" t="s">
        <v>286</v>
      </c>
      <c r="D44" s="25" t="s">
        <v>287</v>
      </c>
      <c r="E44" s="10">
        <f>Source!AQ28</f>
        <v>53.6</v>
      </c>
      <c r="F44" s="27"/>
      <c r="G44" s="26" t="str">
        <f>Source!DI28</f>
        <v>)*1,2</v>
      </c>
      <c r="H44" s="10">
        <f>Source!AV28</f>
        <v>1.0469999999999999</v>
      </c>
      <c r="I44" s="28">
        <f>Source!U28</f>
        <v>21.011028479999997</v>
      </c>
      <c r="J44" s="10"/>
      <c r="K44" s="28"/>
    </row>
    <row r="45" spans="1:27" ht="15" x14ac:dyDescent="0.25">
      <c r="A45" s="31"/>
      <c r="B45" s="31"/>
      <c r="C45" s="31"/>
      <c r="D45" s="31"/>
      <c r="E45" s="31"/>
      <c r="F45" s="31"/>
      <c r="G45" s="31"/>
      <c r="H45" s="56">
        <f>I37+I38+I40+I41+I42+I43</f>
        <v>2767.4999999999995</v>
      </c>
      <c r="I45" s="56"/>
      <c r="J45" s="56">
        <f>K37+K38+K40+K41+K42+K43</f>
        <v>26624.190000000006</v>
      </c>
      <c r="K45" s="56"/>
      <c r="O45" s="30">
        <f>I37+I38+I40+I41+I42+I43</f>
        <v>2767.4999999999995</v>
      </c>
      <c r="P45" s="30">
        <f>K37+K38+K40+K41+K42+K43</f>
        <v>26624.190000000006</v>
      </c>
      <c r="X45">
        <f>IF(Source!BI28&lt;=1,I37+I38+I40+I41+I42+I43-0, 0)</f>
        <v>0</v>
      </c>
      <c r="Y45">
        <f>IF(Source!BI28=2,I37+I38+I40+I41+I42+I43-0, 0)</f>
        <v>2767.4999999999995</v>
      </c>
      <c r="Z45">
        <f>IF(Source!BI28=3,I37+I38+I40+I41+I42+I43-0, 0)</f>
        <v>0</v>
      </c>
      <c r="AA45">
        <f>IF(Source!BI28=4,I37+I38+I40+I41+I42+I43,0)</f>
        <v>0</v>
      </c>
    </row>
    <row r="46" spans="1:27" ht="128.25" x14ac:dyDescent="0.2">
      <c r="A46" s="23" t="str">
        <f>Source!E29</f>
        <v>2</v>
      </c>
      <c r="B46" s="24" t="str">
        <f>Source!F29</f>
        <v>4.8-239-7</v>
      </c>
      <c r="C46" s="24" t="s">
        <v>35</v>
      </c>
      <c r="D46" s="25" t="str">
        <f>Source!H29</f>
        <v>шт.</v>
      </c>
      <c r="E46" s="10">
        <f>Source!I29</f>
        <v>8</v>
      </c>
      <c r="F46" s="27"/>
      <c r="G46" s="26"/>
      <c r="H46" s="10"/>
      <c r="I46" s="28"/>
      <c r="J46" s="10"/>
      <c r="K46" s="28"/>
      <c r="Q46">
        <f>ROUND((Source!DN29/100)*ROUND((ROUND((Source!AF29*Source!AV29*Source!I29),2)),2), 2)</f>
        <v>613.71</v>
      </c>
      <c r="R46">
        <f>Source!X29</f>
        <v>8456.25</v>
      </c>
      <c r="S46">
        <f>ROUND((Source!DO29/100)*ROUND((ROUND((Source!AF29*Source!AV29*Source!I29),2)),2), 2)</f>
        <v>360.69</v>
      </c>
      <c r="T46">
        <f>Source!Y29</f>
        <v>4502.68</v>
      </c>
      <c r="U46">
        <f>ROUND((175/100)*ROUND((ROUND((Source!AE29*Source!AV29*Source!I29),2)),2), 2)</f>
        <v>170.45</v>
      </c>
      <c r="V46">
        <f>ROUND((157/100)*ROUND(ROUND((ROUND((Source!AE29*Source!AV29*Source!I29),2)*Source!BS29),2), 2), 2)</f>
        <v>3119.53</v>
      </c>
    </row>
    <row r="47" spans="1:27" ht="14.25" x14ac:dyDescent="0.2">
      <c r="A47" s="23"/>
      <c r="B47" s="24"/>
      <c r="C47" s="24" t="s">
        <v>278</v>
      </c>
      <c r="D47" s="25"/>
      <c r="E47" s="10"/>
      <c r="F47" s="27">
        <f>Source!AO29</f>
        <v>53.56</v>
      </c>
      <c r="G47" s="26" t="str">
        <f>Source!DG29</f>
        <v>)*1,2</v>
      </c>
      <c r="H47" s="10">
        <f>Source!AV29</f>
        <v>1.0469999999999999</v>
      </c>
      <c r="I47" s="28">
        <f>ROUND((ROUND((Source!AF29*Source!AV29*Source!I29),2)),2)</f>
        <v>538.34</v>
      </c>
      <c r="J47" s="10">
        <f>IF(Source!BA29&lt;&gt; 0, Source!BA29, 1)</f>
        <v>20.399999999999999</v>
      </c>
      <c r="K47" s="28">
        <f>Source!S29</f>
        <v>10982.14</v>
      </c>
      <c r="W47">
        <f>I47</f>
        <v>538.34</v>
      </c>
    </row>
    <row r="48" spans="1:27" ht="14.25" x14ac:dyDescent="0.2">
      <c r="A48" s="23"/>
      <c r="B48" s="24"/>
      <c r="C48" s="24" t="s">
        <v>279</v>
      </c>
      <c r="D48" s="25"/>
      <c r="E48" s="10"/>
      <c r="F48" s="27">
        <f>Source!AM29</f>
        <v>70.38</v>
      </c>
      <c r="G48" s="26" t="str">
        <f>Source!DE29</f>
        <v>)*1,2</v>
      </c>
      <c r="H48" s="10">
        <f>Source!AV29</f>
        <v>1.0469999999999999</v>
      </c>
      <c r="I48" s="28">
        <f>(ROUND((ROUND((((Source!ET29*1.2))*Source!AV29*Source!I29),2)),2)+ROUND((ROUND(((Source!AE29-((Source!EU29*1.2)))*Source!AV29*Source!I29),2)),2))</f>
        <v>707.4</v>
      </c>
      <c r="J48" s="10">
        <f>IF(Source!BB29&lt;&gt; 0, Source!BB29, 1)</f>
        <v>7.08</v>
      </c>
      <c r="K48" s="28">
        <f>Source!Q29</f>
        <v>5008.3900000000003</v>
      </c>
    </row>
    <row r="49" spans="1:27" ht="14.25" x14ac:dyDescent="0.2">
      <c r="A49" s="23"/>
      <c r="B49" s="24"/>
      <c r="C49" s="24" t="s">
        <v>280</v>
      </c>
      <c r="D49" s="25"/>
      <c r="E49" s="10"/>
      <c r="F49" s="27">
        <f>Source!AN29</f>
        <v>9.69</v>
      </c>
      <c r="G49" s="26" t="str">
        <f>Source!DF29</f>
        <v>)*1,2</v>
      </c>
      <c r="H49" s="10">
        <f>Source!AV29</f>
        <v>1.0469999999999999</v>
      </c>
      <c r="I49" s="29">
        <f>ROUND((ROUND((Source!AE29*Source!AV29*Source!I29),2)),2)</f>
        <v>97.4</v>
      </c>
      <c r="J49" s="10">
        <f>IF(Source!BS29&lt;&gt; 0, Source!BS29, 1)</f>
        <v>20.399999999999999</v>
      </c>
      <c r="K49" s="29">
        <f>Source!R29</f>
        <v>1986.96</v>
      </c>
      <c r="W49">
        <f>I49</f>
        <v>97.4</v>
      </c>
    </row>
    <row r="50" spans="1:27" ht="14.25" x14ac:dyDescent="0.2">
      <c r="A50" s="23"/>
      <c r="B50" s="24"/>
      <c r="C50" s="24" t="s">
        <v>281</v>
      </c>
      <c r="D50" s="25"/>
      <c r="E50" s="10"/>
      <c r="F50" s="27">
        <f>Source!AL29</f>
        <v>153.30000000000001</v>
      </c>
      <c r="G50" s="26" t="str">
        <f>Source!DD29</f>
        <v/>
      </c>
      <c r="H50" s="10">
        <f>Source!AW29</f>
        <v>1</v>
      </c>
      <c r="I50" s="28">
        <f>ROUND((ROUND((Source!AC29*Source!AW29*Source!I29),2)),2)</f>
        <v>1226.4000000000001</v>
      </c>
      <c r="J50" s="10">
        <f>IF(Source!BC29&lt;&gt; 0, Source!BC29, 1)</f>
        <v>4.9400000000000004</v>
      </c>
      <c r="K50" s="28">
        <f>Source!P29</f>
        <v>6058.42</v>
      </c>
    </row>
    <row r="51" spans="1:27" ht="14.25" x14ac:dyDescent="0.2">
      <c r="A51" s="23"/>
      <c r="B51" s="24"/>
      <c r="C51" s="24" t="s">
        <v>282</v>
      </c>
      <c r="D51" s="25" t="s">
        <v>283</v>
      </c>
      <c r="E51" s="10">
        <f>Source!DN29</f>
        <v>114</v>
      </c>
      <c r="F51" s="27"/>
      <c r="G51" s="26"/>
      <c r="H51" s="10"/>
      <c r="I51" s="28">
        <f>SUM(Q46:Q50)</f>
        <v>613.71</v>
      </c>
      <c r="J51" s="10">
        <f>Source!BZ29</f>
        <v>77</v>
      </c>
      <c r="K51" s="28">
        <f>SUM(R46:R50)</f>
        <v>8456.25</v>
      </c>
    </row>
    <row r="52" spans="1:27" ht="14.25" x14ac:dyDescent="0.2">
      <c r="A52" s="23"/>
      <c r="B52" s="24"/>
      <c r="C52" s="24" t="s">
        <v>284</v>
      </c>
      <c r="D52" s="25" t="s">
        <v>283</v>
      </c>
      <c r="E52" s="10">
        <f>Source!DO29</f>
        <v>67</v>
      </c>
      <c r="F52" s="27"/>
      <c r="G52" s="26"/>
      <c r="H52" s="10"/>
      <c r="I52" s="28">
        <f>SUM(S46:S51)</f>
        <v>360.69</v>
      </c>
      <c r="J52" s="10">
        <f>Source!CA29</f>
        <v>41</v>
      </c>
      <c r="K52" s="28">
        <f>SUM(T46:T51)</f>
        <v>4502.68</v>
      </c>
    </row>
    <row r="53" spans="1:27" ht="14.25" x14ac:dyDescent="0.2">
      <c r="A53" s="23"/>
      <c r="B53" s="24"/>
      <c r="C53" s="24" t="s">
        <v>285</v>
      </c>
      <c r="D53" s="25" t="s">
        <v>283</v>
      </c>
      <c r="E53" s="10">
        <f>175</f>
        <v>175</v>
      </c>
      <c r="F53" s="27"/>
      <c r="G53" s="26"/>
      <c r="H53" s="10"/>
      <c r="I53" s="28">
        <f>SUM(U46:U52)</f>
        <v>170.45</v>
      </c>
      <c r="J53" s="10">
        <f>157</f>
        <v>157</v>
      </c>
      <c r="K53" s="28">
        <f>SUM(V46:V52)</f>
        <v>3119.53</v>
      </c>
    </row>
    <row r="54" spans="1:27" ht="14.25" x14ac:dyDescent="0.2">
      <c r="A54" s="23"/>
      <c r="B54" s="24"/>
      <c r="C54" s="24" t="s">
        <v>286</v>
      </c>
      <c r="D54" s="25" t="s">
        <v>287</v>
      </c>
      <c r="E54" s="10">
        <f>Source!AQ29</f>
        <v>4.12</v>
      </c>
      <c r="F54" s="27"/>
      <c r="G54" s="26" t="str">
        <f>Source!DI29</f>
        <v>)*1,2</v>
      </c>
      <c r="H54" s="10">
        <f>Source!AV29</f>
        <v>1.0469999999999999</v>
      </c>
      <c r="I54" s="28">
        <f>Source!U29</f>
        <v>41.410943999999994</v>
      </c>
      <c r="J54" s="10"/>
      <c r="K54" s="28"/>
    </row>
    <row r="55" spans="1:27" ht="15" x14ac:dyDescent="0.25">
      <c r="A55" s="31"/>
      <c r="B55" s="31"/>
      <c r="C55" s="31"/>
      <c r="D55" s="31"/>
      <c r="E55" s="31"/>
      <c r="F55" s="31"/>
      <c r="G55" s="31"/>
      <c r="H55" s="56">
        <f>I47+I48+I50+I51+I52+I53</f>
        <v>3616.9900000000002</v>
      </c>
      <c r="I55" s="56"/>
      <c r="J55" s="56">
        <f>K47+K48+K50+K51+K52+K53</f>
        <v>38127.409999999996</v>
      </c>
      <c r="K55" s="56"/>
      <c r="O55" s="30">
        <f>I47+I48+I50+I51+I52+I53</f>
        <v>3616.9900000000002</v>
      </c>
      <c r="P55" s="30">
        <f>K47+K48+K50+K51+K52+K53</f>
        <v>38127.409999999996</v>
      </c>
      <c r="X55">
        <f>IF(Source!BI29&lt;=1,I47+I48+I50+I51+I52+I53-0, 0)</f>
        <v>0</v>
      </c>
      <c r="Y55">
        <f>IF(Source!BI29=2,I47+I48+I50+I51+I52+I53-0, 0)</f>
        <v>3616.9900000000002</v>
      </c>
      <c r="Z55">
        <f>IF(Source!BI29=3,I47+I48+I50+I51+I52+I53-0, 0)</f>
        <v>0</v>
      </c>
      <c r="AA55">
        <f>IF(Source!BI29=4,I47+I48+I50+I51+I52+I53,0)</f>
        <v>0</v>
      </c>
    </row>
    <row r="56" spans="1:27" ht="128.25" x14ac:dyDescent="0.2">
      <c r="A56" s="23" t="str">
        <f>Source!E30</f>
        <v>3</v>
      </c>
      <c r="B56" s="24" t="str">
        <f>Source!F30</f>
        <v>4.8-239-7</v>
      </c>
      <c r="C56" s="24" t="s">
        <v>41</v>
      </c>
      <c r="D56" s="25" t="str">
        <f>Source!H30</f>
        <v>шт.</v>
      </c>
      <c r="E56" s="10">
        <f>Source!I30</f>
        <v>9</v>
      </c>
      <c r="F56" s="27"/>
      <c r="G56" s="26"/>
      <c r="H56" s="10"/>
      <c r="I56" s="28"/>
      <c r="J56" s="10"/>
      <c r="K56" s="28"/>
      <c r="Q56">
        <f>ROUND((Source!DN30/100)*ROUND((ROUND((Source!AF30*Source!AV30*Source!I30),2)),2), 2)</f>
        <v>207.13</v>
      </c>
      <c r="R56">
        <f>Source!X30</f>
        <v>2853.99</v>
      </c>
      <c r="S56">
        <f>ROUND((Source!DO30/100)*ROUND((ROUND((Source!AF30*Source!AV30*Source!I30),2)),2), 2)</f>
        <v>121.73</v>
      </c>
      <c r="T56">
        <f>Source!Y30</f>
        <v>1519.66</v>
      </c>
      <c r="U56">
        <f>ROUND((175/100)*ROUND((ROUND((Source!AE30*Source!AV30*Source!I30),2)),2), 2)</f>
        <v>57.52</v>
      </c>
      <c r="V56">
        <f>ROUND((157/100)*ROUND(ROUND((ROUND((Source!AE30*Source!AV30*Source!I30),2)*Source!BS30),2), 2), 2)</f>
        <v>1052.76</v>
      </c>
    </row>
    <row r="57" spans="1:27" ht="28.5" x14ac:dyDescent="0.2">
      <c r="A57" s="23"/>
      <c r="B57" s="24"/>
      <c r="C57" s="24" t="s">
        <v>278</v>
      </c>
      <c r="D57" s="25"/>
      <c r="E57" s="10"/>
      <c r="F57" s="27">
        <f>Source!AO30</f>
        <v>53.56</v>
      </c>
      <c r="G57" s="26" t="str">
        <f>Source!DG30</f>
        <v>)*1,2)*0,3</v>
      </c>
      <c r="H57" s="10">
        <f>Source!AV30</f>
        <v>1.0469999999999999</v>
      </c>
      <c r="I57" s="28">
        <f>ROUND((ROUND((Source!AF30*Source!AV30*Source!I30),2)),2)</f>
        <v>181.69</v>
      </c>
      <c r="J57" s="10">
        <f>IF(Source!BA30&lt;&gt; 0, Source!BA30, 1)</f>
        <v>20.399999999999999</v>
      </c>
      <c r="K57" s="28">
        <f>Source!S30</f>
        <v>3706.48</v>
      </c>
      <c r="W57">
        <f>I57</f>
        <v>181.69</v>
      </c>
    </row>
    <row r="58" spans="1:27" ht="28.5" x14ac:dyDescent="0.2">
      <c r="A58" s="23"/>
      <c r="B58" s="24"/>
      <c r="C58" s="24" t="s">
        <v>279</v>
      </c>
      <c r="D58" s="25"/>
      <c r="E58" s="10"/>
      <c r="F58" s="27">
        <f>Source!AM30</f>
        <v>70.38</v>
      </c>
      <c r="G58" s="26" t="str">
        <f>Source!DE30</f>
        <v>)*1,2)*0,3</v>
      </c>
      <c r="H58" s="10">
        <f>Source!AV30</f>
        <v>1.0469999999999999</v>
      </c>
      <c r="I58" s="28">
        <f>(ROUND((ROUND(((((Source!ET30*1.2)*0.3))*Source!AV30*Source!I30),2)),2)+ROUND((ROUND(((Source!AE30-(((Source!EU30*1.2)*0.3)))*Source!AV30*Source!I30),2)),2))</f>
        <v>238.75</v>
      </c>
      <c r="J58" s="10">
        <f>IF(Source!BB30&lt;&gt; 0, Source!BB30, 1)</f>
        <v>7.08</v>
      </c>
      <c r="K58" s="28">
        <f>Source!Q30</f>
        <v>1690.35</v>
      </c>
    </row>
    <row r="59" spans="1:27" ht="28.5" x14ac:dyDescent="0.2">
      <c r="A59" s="23"/>
      <c r="B59" s="24"/>
      <c r="C59" s="24" t="s">
        <v>280</v>
      </c>
      <c r="D59" s="25"/>
      <c r="E59" s="10"/>
      <c r="F59" s="27">
        <f>Source!AN30</f>
        <v>9.69</v>
      </c>
      <c r="G59" s="26" t="str">
        <f>Source!DF30</f>
        <v>)*1,2)*0,3</v>
      </c>
      <c r="H59" s="10">
        <f>Source!AV30</f>
        <v>1.0469999999999999</v>
      </c>
      <c r="I59" s="29">
        <f>ROUND((ROUND((Source!AE30*Source!AV30*Source!I30),2)),2)</f>
        <v>32.869999999999997</v>
      </c>
      <c r="J59" s="10">
        <f>IF(Source!BS30&lt;&gt; 0, Source!BS30, 1)</f>
        <v>20.399999999999999</v>
      </c>
      <c r="K59" s="29">
        <f>Source!R30</f>
        <v>670.55</v>
      </c>
      <c r="W59">
        <f>I59</f>
        <v>32.869999999999997</v>
      </c>
    </row>
    <row r="60" spans="1:27" ht="14.25" x14ac:dyDescent="0.2">
      <c r="A60" s="23"/>
      <c r="B60" s="24"/>
      <c r="C60" s="24" t="s">
        <v>282</v>
      </c>
      <c r="D60" s="25" t="s">
        <v>283</v>
      </c>
      <c r="E60" s="10">
        <f>Source!DN30</f>
        <v>114</v>
      </c>
      <c r="F60" s="27"/>
      <c r="G60" s="26"/>
      <c r="H60" s="10"/>
      <c r="I60" s="28">
        <f>SUM(Q56:Q59)</f>
        <v>207.13</v>
      </c>
      <c r="J60" s="10">
        <f>Source!BZ30</f>
        <v>77</v>
      </c>
      <c r="K60" s="28">
        <f>SUM(R56:R59)</f>
        <v>2853.99</v>
      </c>
    </row>
    <row r="61" spans="1:27" ht="14.25" x14ac:dyDescent="0.2">
      <c r="A61" s="23"/>
      <c r="B61" s="24"/>
      <c r="C61" s="24" t="s">
        <v>284</v>
      </c>
      <c r="D61" s="25" t="s">
        <v>283</v>
      </c>
      <c r="E61" s="10">
        <f>Source!DO30</f>
        <v>67</v>
      </c>
      <c r="F61" s="27"/>
      <c r="G61" s="26"/>
      <c r="H61" s="10"/>
      <c r="I61" s="28">
        <f>SUM(S56:S60)</f>
        <v>121.73</v>
      </c>
      <c r="J61" s="10">
        <f>Source!CA30</f>
        <v>41</v>
      </c>
      <c r="K61" s="28">
        <f>SUM(T56:T60)</f>
        <v>1519.66</v>
      </c>
    </row>
    <row r="62" spans="1:27" ht="14.25" x14ac:dyDescent="0.2">
      <c r="A62" s="23"/>
      <c r="B62" s="24"/>
      <c r="C62" s="24" t="s">
        <v>285</v>
      </c>
      <c r="D62" s="25" t="s">
        <v>283</v>
      </c>
      <c r="E62" s="10">
        <f>175</f>
        <v>175</v>
      </c>
      <c r="F62" s="27"/>
      <c r="G62" s="26"/>
      <c r="H62" s="10"/>
      <c r="I62" s="28">
        <f>SUM(U56:U61)</f>
        <v>57.52</v>
      </c>
      <c r="J62" s="10">
        <f>157</f>
        <v>157</v>
      </c>
      <c r="K62" s="28">
        <f>SUM(V56:V61)</f>
        <v>1052.76</v>
      </c>
    </row>
    <row r="63" spans="1:27" ht="28.5" x14ac:dyDescent="0.2">
      <c r="A63" s="23"/>
      <c r="B63" s="24"/>
      <c r="C63" s="24" t="s">
        <v>286</v>
      </c>
      <c r="D63" s="25" t="s">
        <v>287</v>
      </c>
      <c r="E63" s="10">
        <f>Source!AQ30</f>
        <v>4.12</v>
      </c>
      <c r="F63" s="27"/>
      <c r="G63" s="26" t="str">
        <f>Source!DI30</f>
        <v>)*1,2)*0,3</v>
      </c>
      <c r="H63" s="10">
        <f>Source!AV30</f>
        <v>1.0469999999999999</v>
      </c>
      <c r="I63" s="28">
        <f>Source!U30</f>
        <v>13.976193599999998</v>
      </c>
      <c r="J63" s="10"/>
      <c r="K63" s="28"/>
    </row>
    <row r="64" spans="1:27" ht="15" x14ac:dyDescent="0.25">
      <c r="A64" s="31"/>
      <c r="B64" s="31"/>
      <c r="C64" s="31"/>
      <c r="D64" s="31"/>
      <c r="E64" s="31"/>
      <c r="F64" s="31"/>
      <c r="G64" s="31"/>
      <c r="H64" s="56">
        <f>I57+I58+I60+I61+I62</f>
        <v>806.81999999999994</v>
      </c>
      <c r="I64" s="56"/>
      <c r="J64" s="56">
        <f>K57+K58+K60+K61+K62</f>
        <v>10823.24</v>
      </c>
      <c r="K64" s="56"/>
      <c r="O64" s="30">
        <f>I57+I58+I60+I61+I62</f>
        <v>806.81999999999994</v>
      </c>
      <c r="P64" s="30">
        <f>K57+K58+K60+K61+K62</f>
        <v>10823.24</v>
      </c>
      <c r="X64">
        <f>IF(Source!BI30&lt;=1,I57+I58+I60+I61+I62-0, 0)</f>
        <v>0</v>
      </c>
      <c r="Y64">
        <f>IF(Source!BI30=2,I57+I58+I60+I61+I62-0, 0)</f>
        <v>806.81999999999994</v>
      </c>
      <c r="Z64">
        <f>IF(Source!BI30=3,I57+I58+I60+I61+I62-0, 0)</f>
        <v>0</v>
      </c>
      <c r="AA64">
        <f>IF(Source!BI30=4,I57+I58+I60+I61+I62,0)</f>
        <v>0</v>
      </c>
    </row>
    <row r="65" spans="1:27" ht="28.5" x14ac:dyDescent="0.2">
      <c r="A65" s="23" t="str">
        <f>Source!E31</f>
        <v>4</v>
      </c>
      <c r="B65" s="24" t="str">
        <f>Source!F31</f>
        <v>4.8-47-2</v>
      </c>
      <c r="C65" s="24" t="s">
        <v>47</v>
      </c>
      <c r="D65" s="25" t="str">
        <f>Source!H31</f>
        <v>100 м</v>
      </c>
      <c r="E65" s="10">
        <f>Source!I31</f>
        <v>0.27</v>
      </c>
      <c r="F65" s="27"/>
      <c r="G65" s="26"/>
      <c r="H65" s="10"/>
      <c r="I65" s="28"/>
      <c r="J65" s="10"/>
      <c r="K65" s="28"/>
      <c r="Q65">
        <f>ROUND((Source!DN31/100)*ROUND((ROUND((Source!AF31*Source!AV31*Source!I31),2)),2), 2)</f>
        <v>271.35000000000002</v>
      </c>
      <c r="R65">
        <f>Source!X31</f>
        <v>3738.97</v>
      </c>
      <c r="S65">
        <f>ROUND((Source!DO31/100)*ROUND((ROUND((Source!AF31*Source!AV31*Source!I31),2)),2), 2)</f>
        <v>159.47999999999999</v>
      </c>
      <c r="T65">
        <f>Source!Y31</f>
        <v>1990.88</v>
      </c>
      <c r="U65">
        <f>ROUND((175/100)*ROUND((ROUND((Source!AE31*Source!AV31*Source!I31),2)),2), 2)</f>
        <v>72.069999999999993</v>
      </c>
      <c r="V65">
        <f>ROUND((157/100)*ROUND(ROUND((ROUND((Source!AE31*Source!AV31*Source!I31),2)*Source!BS31),2), 2), 2)</f>
        <v>1318.91</v>
      </c>
    </row>
    <row r="66" spans="1:27" x14ac:dyDescent="0.2">
      <c r="C66" s="32" t="str">
        <f>"Объем: "&amp;Source!I31&amp;"=27/"&amp;"100"</f>
        <v>Объем: 0,27=27/100</v>
      </c>
    </row>
    <row r="67" spans="1:27" ht="14.25" x14ac:dyDescent="0.2">
      <c r="A67" s="23"/>
      <c r="B67" s="24"/>
      <c r="C67" s="24" t="s">
        <v>278</v>
      </c>
      <c r="D67" s="25"/>
      <c r="E67" s="10"/>
      <c r="F67" s="27">
        <f>Source!AO31</f>
        <v>701.67</v>
      </c>
      <c r="G67" s="26" t="str">
        <f>Source!DG31</f>
        <v>)*1,2</v>
      </c>
      <c r="H67" s="10">
        <f>Source!AV31</f>
        <v>1.0469999999999999</v>
      </c>
      <c r="I67" s="28">
        <f>ROUND((ROUND((Source!AF31*Source!AV31*Source!I31),2)),2)</f>
        <v>238.03</v>
      </c>
      <c r="J67" s="10">
        <f>IF(Source!BA31&lt;&gt; 0, Source!BA31, 1)</f>
        <v>20.399999999999999</v>
      </c>
      <c r="K67" s="28">
        <f>Source!S31</f>
        <v>4855.8100000000004</v>
      </c>
      <c r="W67">
        <f>I67</f>
        <v>238.03</v>
      </c>
    </row>
    <row r="68" spans="1:27" ht="14.25" x14ac:dyDescent="0.2">
      <c r="A68" s="23"/>
      <c r="B68" s="24"/>
      <c r="C68" s="24" t="s">
        <v>279</v>
      </c>
      <c r="D68" s="25"/>
      <c r="E68" s="10"/>
      <c r="F68" s="27">
        <f>Source!AM31</f>
        <v>523.13</v>
      </c>
      <c r="G68" s="26" t="str">
        <f>Source!DE31</f>
        <v>)*1,2</v>
      </c>
      <c r="H68" s="10">
        <f>Source!AV31</f>
        <v>1.0469999999999999</v>
      </c>
      <c r="I68" s="28">
        <f>(ROUND((ROUND((((Source!ET31*1.2))*Source!AV31*Source!I31),2)),2)+ROUND((ROUND(((Source!AE31-((Source!EU31*1.2)))*Source!AV31*Source!I31),2)),2))</f>
        <v>177.46</v>
      </c>
      <c r="J68" s="10">
        <f>IF(Source!BB31&lt;&gt; 0, Source!BB31, 1)</f>
        <v>9.06</v>
      </c>
      <c r="K68" s="28">
        <f>Source!Q31</f>
        <v>1607.79</v>
      </c>
    </row>
    <row r="69" spans="1:27" ht="14.25" x14ac:dyDescent="0.2">
      <c r="A69" s="23"/>
      <c r="B69" s="24"/>
      <c r="C69" s="24" t="s">
        <v>280</v>
      </c>
      <c r="D69" s="25"/>
      <c r="E69" s="10"/>
      <c r="F69" s="27">
        <f>Source!AN31</f>
        <v>121.38</v>
      </c>
      <c r="G69" s="26" t="str">
        <f>Source!DF31</f>
        <v>)*1,2</v>
      </c>
      <c r="H69" s="10">
        <f>Source!AV31</f>
        <v>1.0469999999999999</v>
      </c>
      <c r="I69" s="29">
        <f>ROUND((ROUND((Source!AE31*Source!AV31*Source!I31),2)),2)</f>
        <v>41.18</v>
      </c>
      <c r="J69" s="10">
        <f>IF(Source!BS31&lt;&gt; 0, Source!BS31, 1)</f>
        <v>20.399999999999999</v>
      </c>
      <c r="K69" s="29">
        <f>Source!R31</f>
        <v>840.07</v>
      </c>
      <c r="W69">
        <f>I69</f>
        <v>41.18</v>
      </c>
    </row>
    <row r="70" spans="1:27" ht="14.25" x14ac:dyDescent="0.2">
      <c r="A70" s="23"/>
      <c r="B70" s="24"/>
      <c r="C70" s="24" t="s">
        <v>281</v>
      </c>
      <c r="D70" s="25"/>
      <c r="E70" s="10"/>
      <c r="F70" s="27">
        <f>Source!AL31</f>
        <v>81.2</v>
      </c>
      <c r="G70" s="26" t="str">
        <f>Source!DD31</f>
        <v/>
      </c>
      <c r="H70" s="10">
        <f>Source!AW31</f>
        <v>1</v>
      </c>
      <c r="I70" s="28">
        <f>ROUND((ROUND((Source!AC31*Source!AW31*Source!I31),2)),2)</f>
        <v>21.92</v>
      </c>
      <c r="J70" s="10">
        <f>IF(Source!BC31&lt;&gt; 0, Source!BC31, 1)</f>
        <v>4.9400000000000004</v>
      </c>
      <c r="K70" s="28">
        <f>Source!P31</f>
        <v>108.28</v>
      </c>
    </row>
    <row r="71" spans="1:27" ht="14.25" x14ac:dyDescent="0.2">
      <c r="A71" s="23"/>
      <c r="B71" s="24"/>
      <c r="C71" s="24" t="s">
        <v>282</v>
      </c>
      <c r="D71" s="25" t="s">
        <v>283</v>
      </c>
      <c r="E71" s="10">
        <f>Source!DN31</f>
        <v>114</v>
      </c>
      <c r="F71" s="27"/>
      <c r="G71" s="26"/>
      <c r="H71" s="10"/>
      <c r="I71" s="28">
        <f>SUM(Q65:Q70)</f>
        <v>271.35000000000002</v>
      </c>
      <c r="J71" s="10">
        <f>Source!BZ31</f>
        <v>77</v>
      </c>
      <c r="K71" s="28">
        <f>SUM(R65:R70)</f>
        <v>3738.97</v>
      </c>
    </row>
    <row r="72" spans="1:27" ht="14.25" x14ac:dyDescent="0.2">
      <c r="A72" s="23"/>
      <c r="B72" s="24"/>
      <c r="C72" s="24" t="s">
        <v>284</v>
      </c>
      <c r="D72" s="25" t="s">
        <v>283</v>
      </c>
      <c r="E72" s="10">
        <f>Source!DO31</f>
        <v>67</v>
      </c>
      <c r="F72" s="27"/>
      <c r="G72" s="26"/>
      <c r="H72" s="10"/>
      <c r="I72" s="28">
        <f>SUM(S65:S71)</f>
        <v>159.47999999999999</v>
      </c>
      <c r="J72" s="10">
        <f>Source!CA31</f>
        <v>41</v>
      </c>
      <c r="K72" s="28">
        <f>SUM(T65:T71)</f>
        <v>1990.88</v>
      </c>
    </row>
    <row r="73" spans="1:27" ht="14.25" x14ac:dyDescent="0.2">
      <c r="A73" s="23"/>
      <c r="B73" s="24"/>
      <c r="C73" s="24" t="s">
        <v>285</v>
      </c>
      <c r="D73" s="25" t="s">
        <v>283</v>
      </c>
      <c r="E73" s="10">
        <f>175</f>
        <v>175</v>
      </c>
      <c r="F73" s="27"/>
      <c r="G73" s="26"/>
      <c r="H73" s="10"/>
      <c r="I73" s="28">
        <f>SUM(U65:U72)</f>
        <v>72.069999999999993</v>
      </c>
      <c r="J73" s="10">
        <f>157</f>
        <v>157</v>
      </c>
      <c r="K73" s="28">
        <f>SUM(V65:V72)</f>
        <v>1318.91</v>
      </c>
    </row>
    <row r="74" spans="1:27" ht="14.25" x14ac:dyDescent="0.2">
      <c r="A74" s="23"/>
      <c r="B74" s="24"/>
      <c r="C74" s="24" t="s">
        <v>286</v>
      </c>
      <c r="D74" s="25" t="s">
        <v>287</v>
      </c>
      <c r="E74" s="10">
        <f>Source!AQ31</f>
        <v>55.6</v>
      </c>
      <c r="F74" s="27"/>
      <c r="G74" s="26" t="str">
        <f>Source!DI31</f>
        <v>)*1,2</v>
      </c>
      <c r="H74" s="10">
        <f>Source!AV31</f>
        <v>1.0469999999999999</v>
      </c>
      <c r="I74" s="28">
        <f>Source!U31</f>
        <v>18.861076800000003</v>
      </c>
      <c r="J74" s="10"/>
      <c r="K74" s="28"/>
    </row>
    <row r="75" spans="1:27" ht="15" x14ac:dyDescent="0.25">
      <c r="A75" s="31"/>
      <c r="B75" s="31"/>
      <c r="C75" s="31"/>
      <c r="D75" s="31"/>
      <c r="E75" s="31"/>
      <c r="F75" s="31"/>
      <c r="G75" s="31"/>
      <c r="H75" s="56">
        <f>I67+I68+I70+I71+I72+I73</f>
        <v>940.31</v>
      </c>
      <c r="I75" s="56"/>
      <c r="J75" s="56">
        <f>K67+K68+K70+K71+K72+K73</f>
        <v>13620.64</v>
      </c>
      <c r="K75" s="56"/>
      <c r="O75" s="30">
        <f>I67+I68+I70+I71+I72+I73</f>
        <v>940.31</v>
      </c>
      <c r="P75" s="30">
        <f>K67+K68+K70+K71+K72+K73</f>
        <v>13620.64</v>
      </c>
      <c r="X75">
        <f>IF(Source!BI31&lt;=1,I67+I68+I70+I71+I72+I73-0, 0)</f>
        <v>0</v>
      </c>
      <c r="Y75">
        <f>IF(Source!BI31=2,I67+I68+I70+I71+I72+I73-0, 0)</f>
        <v>940.31</v>
      </c>
      <c r="Z75">
        <f>IF(Source!BI31=3,I67+I68+I70+I71+I72+I73-0, 0)</f>
        <v>0</v>
      </c>
      <c r="AA75">
        <f>IF(Source!BI31=4,I67+I68+I70+I71+I72+I73,0)</f>
        <v>0</v>
      </c>
    </row>
    <row r="76" spans="1:27" ht="57" x14ac:dyDescent="0.2">
      <c r="A76" s="23" t="str">
        <f>Source!E32</f>
        <v>5</v>
      </c>
      <c r="B76" s="24" t="str">
        <f>Source!F32</f>
        <v>4.8-78-1</v>
      </c>
      <c r="C76" s="24" t="s">
        <v>52</v>
      </c>
      <c r="D76" s="25" t="str">
        <f>Source!H32</f>
        <v>100 м</v>
      </c>
      <c r="E76" s="10">
        <f>Source!I32</f>
        <v>1.17</v>
      </c>
      <c r="F76" s="27"/>
      <c r="G76" s="26"/>
      <c r="H76" s="10"/>
      <c r="I76" s="28"/>
      <c r="J76" s="10"/>
      <c r="K76" s="28"/>
      <c r="Q76">
        <f>ROUND((Source!DN32/100)*ROUND((ROUND((Source!AF32*Source!AV32*Source!I32),2)),2), 2)</f>
        <v>267.42</v>
      </c>
      <c r="R76">
        <f>Source!X32</f>
        <v>4483.16</v>
      </c>
      <c r="S76">
        <f>ROUND((Source!DO32/100)*ROUND((ROUND((Source!AF32*Source!AV32*Source!I32),2)),2), 2)</f>
        <v>157.16999999999999</v>
      </c>
      <c r="T76">
        <f>Source!Y32</f>
        <v>2387.13</v>
      </c>
      <c r="U76">
        <f>ROUND((175/100)*ROUND((ROUND((Source!AE32*Source!AV32*Source!I32),2)),2), 2)</f>
        <v>415.45</v>
      </c>
      <c r="V76">
        <f>ROUND((157/100)*ROUND(ROUND((ROUND((Source!AE32*Source!AV32*Source!I32),2)*Source!BS32),2), 2), 2)</f>
        <v>9250.86</v>
      </c>
    </row>
    <row r="77" spans="1:27" x14ac:dyDescent="0.2">
      <c r="C77" s="32" t="str">
        <f>"Объем: "&amp;Source!I32&amp;"=117/"&amp;"100"</f>
        <v>Объем: 1,17=117/100</v>
      </c>
    </row>
    <row r="78" spans="1:27" ht="14.25" x14ac:dyDescent="0.2">
      <c r="A78" s="23"/>
      <c r="B78" s="24"/>
      <c r="C78" s="24" t="s">
        <v>278</v>
      </c>
      <c r="D78" s="25"/>
      <c r="E78" s="10"/>
      <c r="F78" s="27">
        <f>Source!AO32</f>
        <v>156.59</v>
      </c>
      <c r="G78" s="26" t="str">
        <f>Source!DG32</f>
        <v>)*1,2</v>
      </c>
      <c r="H78" s="10">
        <f>Source!AV32</f>
        <v>1.0669999999999999</v>
      </c>
      <c r="I78" s="28">
        <f>ROUND((ROUND((Source!AF32*Source!AV32*Source!I32),2)),2)</f>
        <v>234.58</v>
      </c>
      <c r="J78" s="10">
        <f>IF(Source!BA32&lt;&gt; 0, Source!BA32, 1)</f>
        <v>24.82</v>
      </c>
      <c r="K78" s="28">
        <f>Source!S32</f>
        <v>5822.28</v>
      </c>
      <c r="W78">
        <f>I78</f>
        <v>234.58</v>
      </c>
    </row>
    <row r="79" spans="1:27" ht="14.25" x14ac:dyDescent="0.2">
      <c r="A79" s="23"/>
      <c r="B79" s="24"/>
      <c r="C79" s="24" t="s">
        <v>279</v>
      </c>
      <c r="D79" s="25"/>
      <c r="E79" s="10"/>
      <c r="F79" s="27">
        <f>Source!AM32</f>
        <v>828.39</v>
      </c>
      <c r="G79" s="26" t="str">
        <f>Source!DE32</f>
        <v>)*1,2</v>
      </c>
      <c r="H79" s="10">
        <f>Source!AV32</f>
        <v>1.0669999999999999</v>
      </c>
      <c r="I79" s="28">
        <f>(ROUND((ROUND((((Source!ET32*1.2))*Source!AV32*Source!I32),2)),2)+ROUND((ROUND(((Source!AE32-((Source!EU32*1.2)))*Source!AV32*Source!I32),2)),2))</f>
        <v>1240.98</v>
      </c>
      <c r="J79" s="10">
        <f>IF(Source!BB32&lt;&gt; 0, Source!BB32, 1)</f>
        <v>7.48</v>
      </c>
      <c r="K79" s="28">
        <f>Source!Q32</f>
        <v>9282.5300000000007</v>
      </c>
    </row>
    <row r="80" spans="1:27" ht="14.25" x14ac:dyDescent="0.2">
      <c r="A80" s="23"/>
      <c r="B80" s="24"/>
      <c r="C80" s="24" t="s">
        <v>280</v>
      </c>
      <c r="D80" s="25"/>
      <c r="E80" s="10"/>
      <c r="F80" s="27">
        <f>Source!AN32</f>
        <v>158.47</v>
      </c>
      <c r="G80" s="26" t="str">
        <f>Source!DF32</f>
        <v>)*1,2</v>
      </c>
      <c r="H80" s="10">
        <f>Source!AV32</f>
        <v>1.0669999999999999</v>
      </c>
      <c r="I80" s="29">
        <f>ROUND((ROUND((Source!AE32*Source!AV32*Source!I32),2)),2)</f>
        <v>237.4</v>
      </c>
      <c r="J80" s="10">
        <f>IF(Source!BS32&lt;&gt; 0, Source!BS32, 1)</f>
        <v>24.82</v>
      </c>
      <c r="K80" s="29">
        <f>Source!R32</f>
        <v>5892.27</v>
      </c>
      <c r="W80">
        <f>I80</f>
        <v>237.4</v>
      </c>
    </row>
    <row r="81" spans="1:27" ht="14.25" x14ac:dyDescent="0.2">
      <c r="A81" s="23"/>
      <c r="B81" s="24"/>
      <c r="C81" s="24" t="s">
        <v>281</v>
      </c>
      <c r="D81" s="25"/>
      <c r="E81" s="10"/>
      <c r="F81" s="27">
        <f>Source!AL32</f>
        <v>168</v>
      </c>
      <c r="G81" s="26" t="str">
        <f>Source!DD32</f>
        <v/>
      </c>
      <c r="H81" s="10">
        <f>Source!AW32</f>
        <v>1.081</v>
      </c>
      <c r="I81" s="28">
        <f>ROUND((ROUND((Source!AC32*Source!AW32*Source!I32),2)),2)</f>
        <v>212.48</v>
      </c>
      <c r="J81" s="10">
        <f>IF(Source!BC32&lt;&gt; 0, Source!BC32, 1)</f>
        <v>5.29</v>
      </c>
      <c r="K81" s="28">
        <f>Source!P32</f>
        <v>1124.02</v>
      </c>
    </row>
    <row r="82" spans="1:27" ht="14.25" x14ac:dyDescent="0.2">
      <c r="A82" s="23"/>
      <c r="B82" s="24"/>
      <c r="C82" s="24" t="s">
        <v>282</v>
      </c>
      <c r="D82" s="25" t="s">
        <v>283</v>
      </c>
      <c r="E82" s="10">
        <f>Source!DN32</f>
        <v>114</v>
      </c>
      <c r="F82" s="27"/>
      <c r="G82" s="26"/>
      <c r="H82" s="10"/>
      <c r="I82" s="28">
        <f>SUM(Q76:Q81)</f>
        <v>267.42</v>
      </c>
      <c r="J82" s="10">
        <f>Source!BZ32</f>
        <v>77</v>
      </c>
      <c r="K82" s="28">
        <f>SUM(R76:R81)</f>
        <v>4483.16</v>
      </c>
    </row>
    <row r="83" spans="1:27" ht="14.25" x14ac:dyDescent="0.2">
      <c r="A83" s="23"/>
      <c r="B83" s="24"/>
      <c r="C83" s="24" t="s">
        <v>284</v>
      </c>
      <c r="D83" s="25" t="s">
        <v>283</v>
      </c>
      <c r="E83" s="10">
        <f>Source!DO32</f>
        <v>67</v>
      </c>
      <c r="F83" s="27"/>
      <c r="G83" s="26"/>
      <c r="H83" s="10"/>
      <c r="I83" s="28">
        <f>SUM(S76:S82)</f>
        <v>157.16999999999999</v>
      </c>
      <c r="J83" s="10">
        <f>Source!CA32</f>
        <v>41</v>
      </c>
      <c r="K83" s="28">
        <f>SUM(T76:T82)</f>
        <v>2387.13</v>
      </c>
    </row>
    <row r="84" spans="1:27" ht="14.25" x14ac:dyDescent="0.2">
      <c r="A84" s="23"/>
      <c r="B84" s="24"/>
      <c r="C84" s="24" t="s">
        <v>285</v>
      </c>
      <c r="D84" s="25" t="s">
        <v>283</v>
      </c>
      <c r="E84" s="10">
        <f>175</f>
        <v>175</v>
      </c>
      <c r="F84" s="27"/>
      <c r="G84" s="26"/>
      <c r="H84" s="10"/>
      <c r="I84" s="28">
        <f>SUM(U76:U83)</f>
        <v>415.45</v>
      </c>
      <c r="J84" s="10">
        <f>157</f>
        <v>157</v>
      </c>
      <c r="K84" s="28">
        <f>SUM(V76:V83)</f>
        <v>9250.86</v>
      </c>
    </row>
    <row r="85" spans="1:27" ht="14.25" x14ac:dyDescent="0.2">
      <c r="A85" s="23"/>
      <c r="B85" s="24"/>
      <c r="C85" s="24" t="s">
        <v>286</v>
      </c>
      <c r="D85" s="25" t="s">
        <v>287</v>
      </c>
      <c r="E85" s="10">
        <f>Source!AQ32</f>
        <v>12.7</v>
      </c>
      <c r="F85" s="27"/>
      <c r="G85" s="26" t="str">
        <f>Source!DI32</f>
        <v>)*1,2</v>
      </c>
      <c r="H85" s="10">
        <f>Source!AV32</f>
        <v>1.0669999999999999</v>
      </c>
      <c r="I85" s="28">
        <f>Source!U32</f>
        <v>19.025463599999995</v>
      </c>
      <c r="J85" s="10"/>
      <c r="K85" s="28"/>
    </row>
    <row r="86" spans="1:27" ht="15" x14ac:dyDescent="0.25">
      <c r="A86" s="31"/>
      <c r="B86" s="31"/>
      <c r="C86" s="31"/>
      <c r="D86" s="31"/>
      <c r="E86" s="31"/>
      <c r="F86" s="31"/>
      <c r="G86" s="31"/>
      <c r="H86" s="56">
        <f>I78+I79+I81+I82+I83+I84</f>
        <v>2528.08</v>
      </c>
      <c r="I86" s="56"/>
      <c r="J86" s="56">
        <f>K78+K79+K81+K82+K83+K84</f>
        <v>32349.980000000003</v>
      </c>
      <c r="K86" s="56"/>
      <c r="O86" s="30">
        <f>I78+I79+I81+I82+I83+I84</f>
        <v>2528.08</v>
      </c>
      <c r="P86" s="30">
        <f>K78+K79+K81+K82+K83+K84</f>
        <v>32349.980000000003</v>
      </c>
      <c r="X86">
        <f>IF(Source!BI32&lt;=1,I78+I79+I81+I82+I83+I84-0, 0)</f>
        <v>0</v>
      </c>
      <c r="Y86">
        <f>IF(Source!BI32=2,I78+I79+I81+I82+I83+I84-0, 0)</f>
        <v>2528.08</v>
      </c>
      <c r="Z86">
        <f>IF(Source!BI32=3,I78+I79+I81+I82+I83+I84-0, 0)</f>
        <v>0</v>
      </c>
      <c r="AA86">
        <f>IF(Source!BI32=4,I78+I79+I81+I82+I83+I84,0)</f>
        <v>0</v>
      </c>
    </row>
    <row r="87" spans="1:27" ht="85.5" x14ac:dyDescent="0.2">
      <c r="A87" s="23" t="str">
        <f>Source!E33</f>
        <v>6</v>
      </c>
      <c r="B87" s="24" t="str">
        <f>Source!F33</f>
        <v>4.8-79-3</v>
      </c>
      <c r="C87" s="24" t="s">
        <v>58</v>
      </c>
      <c r="D87" s="25" t="str">
        <f>Source!H33</f>
        <v>100 м</v>
      </c>
      <c r="E87" s="10">
        <f>Source!I33</f>
        <v>0.18</v>
      </c>
      <c r="F87" s="27"/>
      <c r="G87" s="26"/>
      <c r="H87" s="10"/>
      <c r="I87" s="28"/>
      <c r="J87" s="10"/>
      <c r="K87" s="28"/>
      <c r="Q87">
        <f>ROUND((Source!DN33/100)*ROUND((ROUND((Source!AF33*Source!AV33*Source!I33),2)),2), 2)</f>
        <v>52.16</v>
      </c>
      <c r="R87">
        <f>Source!X33</f>
        <v>874.35</v>
      </c>
      <c r="S87">
        <f>ROUND((Source!DO33/100)*ROUND((ROUND((Source!AF33*Source!AV33*Source!I33),2)),2), 2)</f>
        <v>30.65</v>
      </c>
      <c r="T87">
        <f>Source!Y33</f>
        <v>465.56</v>
      </c>
      <c r="U87">
        <f>ROUND((175/100)*ROUND((ROUND((Source!AE33*Source!AV33*Source!I33),2)),2), 2)</f>
        <v>30.28</v>
      </c>
      <c r="V87">
        <f>ROUND((157/100)*ROUND(ROUND((ROUND((Source!AE33*Source!AV33*Source!I33),2)*Source!BS33),2), 2), 2)</f>
        <v>674.14</v>
      </c>
    </row>
    <row r="88" spans="1:27" x14ac:dyDescent="0.2">
      <c r="C88" s="32" t="str">
        <f>"Объем: "&amp;Source!I33&amp;"=18/"&amp;"100"</f>
        <v>Объем: 0,18=18/100</v>
      </c>
    </row>
    <row r="89" spans="1:27" ht="14.25" x14ac:dyDescent="0.2">
      <c r="A89" s="23"/>
      <c r="B89" s="24"/>
      <c r="C89" s="24" t="s">
        <v>278</v>
      </c>
      <c r="D89" s="25"/>
      <c r="E89" s="10"/>
      <c r="F89" s="27">
        <f>Source!AO33</f>
        <v>198.51</v>
      </c>
      <c r="G89" s="26" t="str">
        <f>Source!DG33</f>
        <v>)*1,2</v>
      </c>
      <c r="H89" s="10">
        <f>Source!AV33</f>
        <v>1.0669999999999999</v>
      </c>
      <c r="I89" s="28">
        <f>ROUND((ROUND((Source!AF33*Source!AV33*Source!I33),2)),2)</f>
        <v>45.75</v>
      </c>
      <c r="J89" s="10">
        <f>IF(Source!BA33&lt;&gt; 0, Source!BA33, 1)</f>
        <v>24.82</v>
      </c>
      <c r="K89" s="28">
        <f>Source!S33</f>
        <v>1135.52</v>
      </c>
      <c r="W89">
        <f>I89</f>
        <v>45.75</v>
      </c>
    </row>
    <row r="90" spans="1:27" ht="14.25" x14ac:dyDescent="0.2">
      <c r="A90" s="23"/>
      <c r="B90" s="24"/>
      <c r="C90" s="24" t="s">
        <v>279</v>
      </c>
      <c r="D90" s="25"/>
      <c r="E90" s="10"/>
      <c r="F90" s="27">
        <f>Source!AM33</f>
        <v>463.73</v>
      </c>
      <c r="G90" s="26" t="str">
        <f>Source!DE33</f>
        <v>)*1,2</v>
      </c>
      <c r="H90" s="10">
        <f>Source!AV33</f>
        <v>1.0669999999999999</v>
      </c>
      <c r="I90" s="28">
        <f>(ROUND((ROUND((((Source!ET33*1.2))*Source!AV33*Source!I33),2)),2)+ROUND((ROUND(((Source!AE33-((Source!EU33*1.2)))*Source!AV33*Source!I33),2)),2))</f>
        <v>106.88</v>
      </c>
      <c r="J90" s="10">
        <f>IF(Source!BB33&lt;&gt; 0, Source!BB33, 1)</f>
        <v>5.52</v>
      </c>
      <c r="K90" s="28">
        <f>Source!Q33</f>
        <v>589.98</v>
      </c>
    </row>
    <row r="91" spans="1:27" ht="14.25" x14ac:dyDescent="0.2">
      <c r="A91" s="23"/>
      <c r="B91" s="24"/>
      <c r="C91" s="24" t="s">
        <v>280</v>
      </c>
      <c r="D91" s="25"/>
      <c r="E91" s="10"/>
      <c r="F91" s="27">
        <f>Source!AN33</f>
        <v>75.08</v>
      </c>
      <c r="G91" s="26" t="str">
        <f>Source!DF33</f>
        <v>)*1,2</v>
      </c>
      <c r="H91" s="10">
        <f>Source!AV33</f>
        <v>1.0669999999999999</v>
      </c>
      <c r="I91" s="29">
        <f>ROUND((ROUND((Source!AE33*Source!AV33*Source!I33),2)),2)</f>
        <v>17.3</v>
      </c>
      <c r="J91" s="10">
        <f>IF(Source!BS33&lt;&gt; 0, Source!BS33, 1)</f>
        <v>24.82</v>
      </c>
      <c r="K91" s="29">
        <f>Source!R33</f>
        <v>429.39</v>
      </c>
      <c r="W91">
        <f>I91</f>
        <v>17.3</v>
      </c>
    </row>
    <row r="92" spans="1:27" ht="14.25" x14ac:dyDescent="0.2">
      <c r="A92" s="23"/>
      <c r="B92" s="24"/>
      <c r="C92" s="24" t="s">
        <v>281</v>
      </c>
      <c r="D92" s="25"/>
      <c r="E92" s="10"/>
      <c r="F92" s="27">
        <f>Source!AL33</f>
        <v>27.23</v>
      </c>
      <c r="G92" s="26" t="str">
        <f>Source!DD33</f>
        <v/>
      </c>
      <c r="H92" s="10">
        <f>Source!AW33</f>
        <v>1.081</v>
      </c>
      <c r="I92" s="28">
        <f>ROUND((ROUND((Source!AC33*Source!AW33*Source!I33),2)),2)</f>
        <v>5.3</v>
      </c>
      <c r="J92" s="10">
        <f>IF(Source!BC33&lt;&gt; 0, Source!BC33, 1)</f>
        <v>5.29</v>
      </c>
      <c r="K92" s="28">
        <f>Source!P33</f>
        <v>28.04</v>
      </c>
    </row>
    <row r="93" spans="1:27" ht="14.25" x14ac:dyDescent="0.2">
      <c r="A93" s="23"/>
      <c r="B93" s="24"/>
      <c r="C93" s="24" t="s">
        <v>282</v>
      </c>
      <c r="D93" s="25" t="s">
        <v>283</v>
      </c>
      <c r="E93" s="10">
        <f>Source!DN33</f>
        <v>114</v>
      </c>
      <c r="F93" s="27"/>
      <c r="G93" s="26"/>
      <c r="H93" s="10"/>
      <c r="I93" s="28">
        <f>SUM(Q87:Q92)</f>
        <v>52.16</v>
      </c>
      <c r="J93" s="10">
        <f>Source!BZ33</f>
        <v>77</v>
      </c>
      <c r="K93" s="28">
        <f>SUM(R87:R92)</f>
        <v>874.35</v>
      </c>
    </row>
    <row r="94" spans="1:27" ht="14.25" x14ac:dyDescent="0.2">
      <c r="A94" s="23"/>
      <c r="B94" s="24"/>
      <c r="C94" s="24" t="s">
        <v>284</v>
      </c>
      <c r="D94" s="25" t="s">
        <v>283</v>
      </c>
      <c r="E94" s="10">
        <f>Source!DO33</f>
        <v>67</v>
      </c>
      <c r="F94" s="27"/>
      <c r="G94" s="26"/>
      <c r="H94" s="10"/>
      <c r="I94" s="28">
        <f>SUM(S87:S93)</f>
        <v>30.65</v>
      </c>
      <c r="J94" s="10">
        <f>Source!CA33</f>
        <v>41</v>
      </c>
      <c r="K94" s="28">
        <f>SUM(T87:T93)</f>
        <v>465.56</v>
      </c>
    </row>
    <row r="95" spans="1:27" ht="14.25" x14ac:dyDescent="0.2">
      <c r="A95" s="23"/>
      <c r="B95" s="24"/>
      <c r="C95" s="24" t="s">
        <v>285</v>
      </c>
      <c r="D95" s="25" t="s">
        <v>283</v>
      </c>
      <c r="E95" s="10">
        <f>175</f>
        <v>175</v>
      </c>
      <c r="F95" s="27"/>
      <c r="G95" s="26"/>
      <c r="H95" s="10"/>
      <c r="I95" s="28">
        <f>SUM(U87:U94)</f>
        <v>30.28</v>
      </c>
      <c r="J95" s="10">
        <f>157</f>
        <v>157</v>
      </c>
      <c r="K95" s="28">
        <f>SUM(V87:V94)</f>
        <v>674.14</v>
      </c>
    </row>
    <row r="96" spans="1:27" ht="14.25" x14ac:dyDescent="0.2">
      <c r="A96" s="23"/>
      <c r="B96" s="24"/>
      <c r="C96" s="24" t="s">
        <v>286</v>
      </c>
      <c r="D96" s="25" t="s">
        <v>287</v>
      </c>
      <c r="E96" s="10">
        <f>Source!AQ33</f>
        <v>16.100000000000001</v>
      </c>
      <c r="F96" s="27"/>
      <c r="G96" s="26" t="str">
        <f>Source!DI33</f>
        <v>)*1,2</v>
      </c>
      <c r="H96" s="10">
        <f>Source!AV33</f>
        <v>1.0669999999999999</v>
      </c>
      <c r="I96" s="28">
        <f>Source!U33</f>
        <v>3.7105991999999994</v>
      </c>
      <c r="J96" s="10"/>
      <c r="K96" s="28"/>
    </row>
    <row r="97" spans="1:27" ht="15" x14ac:dyDescent="0.25">
      <c r="A97" s="31"/>
      <c r="B97" s="31"/>
      <c r="C97" s="31"/>
      <c r="D97" s="31"/>
      <c r="E97" s="31"/>
      <c r="F97" s="31"/>
      <c r="G97" s="31"/>
      <c r="H97" s="56">
        <f>I89+I90+I92+I93+I94+I95</f>
        <v>271.02</v>
      </c>
      <c r="I97" s="56"/>
      <c r="J97" s="56">
        <f>K89+K90+K92+K93+K94+K95</f>
        <v>3767.5899999999997</v>
      </c>
      <c r="K97" s="56"/>
      <c r="O97" s="30">
        <f>I89+I90+I92+I93+I94+I95</f>
        <v>271.02</v>
      </c>
      <c r="P97" s="30">
        <f>K89+K90+K92+K93+K94+K95</f>
        <v>3767.5899999999997</v>
      </c>
      <c r="X97">
        <f>IF(Source!BI33&lt;=1,I89+I90+I92+I93+I94+I95-0, 0)</f>
        <v>0</v>
      </c>
      <c r="Y97">
        <f>IF(Source!BI33=2,I89+I90+I92+I93+I94+I95-0, 0)</f>
        <v>271.02</v>
      </c>
      <c r="Z97">
        <f>IF(Source!BI33=3,I89+I90+I92+I93+I94+I95-0, 0)</f>
        <v>0</v>
      </c>
      <c r="AA97">
        <f>IF(Source!BI33=4,I89+I90+I92+I93+I94+I95,0)</f>
        <v>0</v>
      </c>
    </row>
    <row r="98" spans="1:27" ht="85.5" x14ac:dyDescent="0.2">
      <c r="A98" s="23" t="str">
        <f>Source!E34</f>
        <v>7</v>
      </c>
      <c r="B98" s="24" t="str">
        <f>Source!F34</f>
        <v>4.8-79-3</v>
      </c>
      <c r="C98" s="24" t="s">
        <v>61</v>
      </c>
      <c r="D98" s="25" t="str">
        <f>Source!H34</f>
        <v>100 м</v>
      </c>
      <c r="E98" s="10">
        <f>Source!I34</f>
        <v>0.18</v>
      </c>
      <c r="F98" s="27"/>
      <c r="G98" s="26"/>
      <c r="H98" s="10"/>
      <c r="I98" s="28"/>
      <c r="J98" s="10"/>
      <c r="K98" s="28"/>
      <c r="Q98">
        <f>ROUND((Source!DN34/100)*ROUND((ROUND((Source!AF34*Source!AV34*Source!I34),2)),2), 2)</f>
        <v>15.65</v>
      </c>
      <c r="R98">
        <f>Source!X34</f>
        <v>262.39999999999998</v>
      </c>
      <c r="S98">
        <f>ROUND((Source!DO34/100)*ROUND((ROUND((Source!AF34*Source!AV34*Source!I34),2)),2), 2)</f>
        <v>9.1999999999999993</v>
      </c>
      <c r="T98">
        <f>Source!Y34</f>
        <v>139.72</v>
      </c>
      <c r="U98">
        <f>ROUND((175/100)*ROUND((ROUND((Source!AE34*Source!AV34*Source!I34),2)),2), 2)</f>
        <v>9.08</v>
      </c>
      <c r="V98">
        <f>ROUND((157/100)*ROUND(ROUND((ROUND((Source!AE34*Source!AV34*Source!I34),2)*Source!BS34),2), 2), 2)</f>
        <v>202.25</v>
      </c>
    </row>
    <row r="99" spans="1:27" x14ac:dyDescent="0.2">
      <c r="C99" s="32" t="str">
        <f>"Объем: "&amp;Source!I34&amp;"=18/"&amp;"100"</f>
        <v>Объем: 0,18=18/100</v>
      </c>
    </row>
    <row r="100" spans="1:27" ht="28.5" x14ac:dyDescent="0.2">
      <c r="A100" s="23"/>
      <c r="B100" s="24"/>
      <c r="C100" s="24" t="s">
        <v>278</v>
      </c>
      <c r="D100" s="25"/>
      <c r="E100" s="10"/>
      <c r="F100" s="27">
        <f>Source!AO34</f>
        <v>198.51</v>
      </c>
      <c r="G100" s="26" t="str">
        <f>Source!DG34</f>
        <v>)*1,2)*0,3</v>
      </c>
      <c r="H100" s="10">
        <f>Source!AV34</f>
        <v>1.0669999999999999</v>
      </c>
      <c r="I100" s="28">
        <f>ROUND((ROUND((Source!AF34*Source!AV34*Source!I34),2)),2)</f>
        <v>13.73</v>
      </c>
      <c r="J100" s="10">
        <f>IF(Source!BA34&lt;&gt; 0, Source!BA34, 1)</f>
        <v>24.82</v>
      </c>
      <c r="K100" s="28">
        <f>Source!S34</f>
        <v>340.78</v>
      </c>
      <c r="W100">
        <f>I100</f>
        <v>13.73</v>
      </c>
    </row>
    <row r="101" spans="1:27" ht="28.5" x14ac:dyDescent="0.2">
      <c r="A101" s="23"/>
      <c r="B101" s="24"/>
      <c r="C101" s="24" t="s">
        <v>279</v>
      </c>
      <c r="D101" s="25"/>
      <c r="E101" s="10"/>
      <c r="F101" s="27">
        <f>Source!AM34</f>
        <v>463.73</v>
      </c>
      <c r="G101" s="26" t="str">
        <f>Source!DE34</f>
        <v>)*1,2)*0,3</v>
      </c>
      <c r="H101" s="10">
        <f>Source!AV34</f>
        <v>1.0669999999999999</v>
      </c>
      <c r="I101" s="28">
        <f>(ROUND((ROUND(((((Source!ET34*1.2)*0.3))*Source!AV34*Source!I34),2)),2)+ROUND((ROUND(((Source!AE34-(((Source!EU34*1.2)*0.3)))*Source!AV34*Source!I34),2)),2))</f>
        <v>32.06</v>
      </c>
      <c r="J101" s="10">
        <f>IF(Source!BB34&lt;&gt; 0, Source!BB34, 1)</f>
        <v>5.52</v>
      </c>
      <c r="K101" s="28">
        <f>Source!Q34</f>
        <v>176.97</v>
      </c>
    </row>
    <row r="102" spans="1:27" ht="28.5" x14ac:dyDescent="0.2">
      <c r="A102" s="23"/>
      <c r="B102" s="24"/>
      <c r="C102" s="24" t="s">
        <v>280</v>
      </c>
      <c r="D102" s="25"/>
      <c r="E102" s="10"/>
      <c r="F102" s="27">
        <f>Source!AN34</f>
        <v>75.08</v>
      </c>
      <c r="G102" s="26" t="str">
        <f>Source!DF34</f>
        <v>)*1,2)*0,3</v>
      </c>
      <c r="H102" s="10">
        <f>Source!AV34</f>
        <v>1.0669999999999999</v>
      </c>
      <c r="I102" s="29">
        <f>ROUND((ROUND((Source!AE34*Source!AV34*Source!I34),2)),2)</f>
        <v>5.19</v>
      </c>
      <c r="J102" s="10">
        <f>IF(Source!BS34&lt;&gt; 0, Source!BS34, 1)</f>
        <v>24.82</v>
      </c>
      <c r="K102" s="29">
        <f>Source!R34</f>
        <v>128.82</v>
      </c>
      <c r="W102">
        <f>I102</f>
        <v>5.19</v>
      </c>
    </row>
    <row r="103" spans="1:27" ht="14.25" x14ac:dyDescent="0.2">
      <c r="A103" s="23"/>
      <c r="B103" s="24"/>
      <c r="C103" s="24" t="s">
        <v>282</v>
      </c>
      <c r="D103" s="25" t="s">
        <v>283</v>
      </c>
      <c r="E103" s="10">
        <f>Source!DN34</f>
        <v>114</v>
      </c>
      <c r="F103" s="27"/>
      <c r="G103" s="26"/>
      <c r="H103" s="10"/>
      <c r="I103" s="28">
        <f>SUM(Q98:Q102)</f>
        <v>15.65</v>
      </c>
      <c r="J103" s="10">
        <f>Source!BZ34</f>
        <v>77</v>
      </c>
      <c r="K103" s="28">
        <f>SUM(R98:R102)</f>
        <v>262.39999999999998</v>
      </c>
    </row>
    <row r="104" spans="1:27" ht="14.25" x14ac:dyDescent="0.2">
      <c r="A104" s="23"/>
      <c r="B104" s="24"/>
      <c r="C104" s="24" t="s">
        <v>284</v>
      </c>
      <c r="D104" s="25" t="s">
        <v>283</v>
      </c>
      <c r="E104" s="10">
        <f>Source!DO34</f>
        <v>67</v>
      </c>
      <c r="F104" s="27"/>
      <c r="G104" s="26"/>
      <c r="H104" s="10"/>
      <c r="I104" s="28">
        <f>SUM(S98:S103)</f>
        <v>9.1999999999999993</v>
      </c>
      <c r="J104" s="10">
        <f>Source!CA34</f>
        <v>41</v>
      </c>
      <c r="K104" s="28">
        <f>SUM(T98:T103)</f>
        <v>139.72</v>
      </c>
    </row>
    <row r="105" spans="1:27" ht="14.25" x14ac:dyDescent="0.2">
      <c r="A105" s="23"/>
      <c r="B105" s="24"/>
      <c r="C105" s="24" t="s">
        <v>285</v>
      </c>
      <c r="D105" s="25" t="s">
        <v>283</v>
      </c>
      <c r="E105" s="10">
        <f>175</f>
        <v>175</v>
      </c>
      <c r="F105" s="27"/>
      <c r="G105" s="26"/>
      <c r="H105" s="10"/>
      <c r="I105" s="28">
        <f>SUM(U98:U104)</f>
        <v>9.08</v>
      </c>
      <c r="J105" s="10">
        <f>157</f>
        <v>157</v>
      </c>
      <c r="K105" s="28">
        <f>SUM(V98:V104)</f>
        <v>202.25</v>
      </c>
    </row>
    <row r="106" spans="1:27" ht="28.5" x14ac:dyDescent="0.2">
      <c r="A106" s="23"/>
      <c r="B106" s="24"/>
      <c r="C106" s="24" t="s">
        <v>286</v>
      </c>
      <c r="D106" s="25" t="s">
        <v>287</v>
      </c>
      <c r="E106" s="10">
        <f>Source!AQ34</f>
        <v>16.100000000000001</v>
      </c>
      <c r="F106" s="27"/>
      <c r="G106" s="26" t="str">
        <f>Source!DI34</f>
        <v>)*1,2)*0,3</v>
      </c>
      <c r="H106" s="10">
        <f>Source!AV34</f>
        <v>1.0669999999999999</v>
      </c>
      <c r="I106" s="28">
        <f>Source!U34</f>
        <v>1.11317976</v>
      </c>
      <c r="J106" s="10"/>
      <c r="K106" s="28"/>
    </row>
    <row r="107" spans="1:27" ht="15" x14ac:dyDescent="0.25">
      <c r="A107" s="31"/>
      <c r="B107" s="31"/>
      <c r="C107" s="31"/>
      <c r="D107" s="31"/>
      <c r="E107" s="31"/>
      <c r="F107" s="31"/>
      <c r="G107" s="31"/>
      <c r="H107" s="56">
        <f>I100+I101+I103+I104+I105</f>
        <v>79.72</v>
      </c>
      <c r="I107" s="56"/>
      <c r="J107" s="56">
        <f>K100+K101+K103+K104+K105</f>
        <v>1122.1199999999999</v>
      </c>
      <c r="K107" s="56"/>
      <c r="O107" s="30">
        <f>I100+I101+I103+I104+I105</f>
        <v>79.72</v>
      </c>
      <c r="P107" s="30">
        <f>K100+K101+K103+K104+K105</f>
        <v>1122.1199999999999</v>
      </c>
      <c r="X107">
        <f>IF(Source!BI34&lt;=1,I100+I101+I103+I104+I105-0, 0)</f>
        <v>0</v>
      </c>
      <c r="Y107">
        <f>IF(Source!BI34=2,I100+I101+I103+I104+I105-0, 0)</f>
        <v>79.72</v>
      </c>
      <c r="Z107">
        <f>IF(Source!BI34=3,I100+I101+I103+I104+I105-0, 0)</f>
        <v>0</v>
      </c>
      <c r="AA107">
        <f>IF(Source!BI34=4,I100+I101+I103+I104+I105,0)</f>
        <v>0</v>
      </c>
    </row>
    <row r="108" spans="1:27" ht="85.5" x14ac:dyDescent="0.2">
      <c r="A108" s="23" t="str">
        <f>Source!E35</f>
        <v>8</v>
      </c>
      <c r="B108" s="24" t="str">
        <f>Source!F35</f>
        <v>4.8-79-4</v>
      </c>
      <c r="C108" s="24" t="s">
        <v>64</v>
      </c>
      <c r="D108" s="25" t="str">
        <f>Source!H35</f>
        <v>100 м</v>
      </c>
      <c r="E108" s="10">
        <f>Source!I35</f>
        <v>0.36</v>
      </c>
      <c r="F108" s="27"/>
      <c r="G108" s="26"/>
      <c r="H108" s="10"/>
      <c r="I108" s="28"/>
      <c r="J108" s="10"/>
      <c r="K108" s="28"/>
      <c r="Q108">
        <f>ROUND((Source!DN35/100)*ROUND((ROUND((Source!AF35*Source!AV35*Source!I35),2)),2), 2)</f>
        <v>141.25</v>
      </c>
      <c r="R108">
        <f>Source!X35</f>
        <v>2340.2399999999998</v>
      </c>
      <c r="S108">
        <f>ROUND((Source!DO35/100)*ROUND((ROUND((Source!AF35*Source!AV35*Source!I35),2)),2), 2)</f>
        <v>83.01</v>
      </c>
      <c r="T108">
        <f>Source!Y35</f>
        <v>1246.0999999999999</v>
      </c>
      <c r="U108">
        <f>ROUND((175/100)*ROUND((ROUND((Source!AE35*Source!AV35*Source!I35),2)),2), 2)</f>
        <v>87.15</v>
      </c>
      <c r="V108">
        <f>ROUND((157/100)*ROUND(ROUND((ROUND((Source!AE35*Source!AV35*Source!I35),2)*Source!BS35),2), 2), 2)</f>
        <v>1917.9</v>
      </c>
    </row>
    <row r="109" spans="1:27" x14ac:dyDescent="0.2">
      <c r="C109" s="32" t="str">
        <f>"Объем: "&amp;Source!I35&amp;"=36/"&amp;"100"</f>
        <v>Объем: 0,36=36/100</v>
      </c>
    </row>
    <row r="110" spans="1:27" ht="14.25" x14ac:dyDescent="0.2">
      <c r="A110" s="23"/>
      <c r="B110" s="24"/>
      <c r="C110" s="24" t="s">
        <v>278</v>
      </c>
      <c r="D110" s="25"/>
      <c r="E110" s="10"/>
      <c r="F110" s="27">
        <f>Source!AO35</f>
        <v>268.79000000000002</v>
      </c>
      <c r="G110" s="26" t="str">
        <f>Source!DG35</f>
        <v>)*1,2</v>
      </c>
      <c r="H110" s="10">
        <f>Source!AV35</f>
        <v>1.0669999999999999</v>
      </c>
      <c r="I110" s="28">
        <f>ROUND((ROUND((Source!AF35*Source!AV35*Source!I35),2)),2)</f>
        <v>123.9</v>
      </c>
      <c r="J110" s="10">
        <f>IF(Source!BA35&lt;&gt; 0, Source!BA35, 1)</f>
        <v>24.53</v>
      </c>
      <c r="K110" s="28">
        <f>Source!S35</f>
        <v>3039.27</v>
      </c>
      <c r="W110">
        <f>I110</f>
        <v>123.9</v>
      </c>
    </row>
    <row r="111" spans="1:27" ht="14.25" x14ac:dyDescent="0.2">
      <c r="A111" s="23"/>
      <c r="B111" s="24"/>
      <c r="C111" s="24" t="s">
        <v>279</v>
      </c>
      <c r="D111" s="25"/>
      <c r="E111" s="10"/>
      <c r="F111" s="27">
        <f>Source!AM35</f>
        <v>652.54999999999995</v>
      </c>
      <c r="G111" s="26" t="str">
        <f>Source!DE35</f>
        <v>)*1,2</v>
      </c>
      <c r="H111" s="10">
        <f>Source!AV35</f>
        <v>1.0669999999999999</v>
      </c>
      <c r="I111" s="28">
        <f>(ROUND((ROUND((((Source!ET35*1.2))*Source!AV35*Source!I35),2)),2)+ROUND((ROUND(((Source!AE35-((Source!EU35*1.2)))*Source!AV35*Source!I35),2)),2))</f>
        <v>300.79000000000002</v>
      </c>
      <c r="J111" s="10">
        <f>IF(Source!BB35&lt;&gt; 0, Source!BB35, 1)</f>
        <v>5.65</v>
      </c>
      <c r="K111" s="28">
        <f>Source!Q35</f>
        <v>1699.46</v>
      </c>
    </row>
    <row r="112" spans="1:27" ht="14.25" x14ac:dyDescent="0.2">
      <c r="A112" s="23"/>
      <c r="B112" s="24"/>
      <c r="C112" s="24" t="s">
        <v>280</v>
      </c>
      <c r="D112" s="25"/>
      <c r="E112" s="10"/>
      <c r="F112" s="27">
        <f>Source!AN35</f>
        <v>108.03</v>
      </c>
      <c r="G112" s="26" t="str">
        <f>Source!DF35</f>
        <v>)*1,2</v>
      </c>
      <c r="H112" s="10">
        <f>Source!AV35</f>
        <v>1.0669999999999999</v>
      </c>
      <c r="I112" s="29">
        <f>ROUND((ROUND((Source!AE35*Source!AV35*Source!I35),2)),2)</f>
        <v>49.8</v>
      </c>
      <c r="J112" s="10">
        <f>IF(Source!BS35&lt;&gt; 0, Source!BS35, 1)</f>
        <v>24.53</v>
      </c>
      <c r="K112" s="29">
        <f>Source!R35</f>
        <v>1221.5899999999999</v>
      </c>
      <c r="W112">
        <f>I112</f>
        <v>49.8</v>
      </c>
    </row>
    <row r="113" spans="1:27" ht="14.25" x14ac:dyDescent="0.2">
      <c r="A113" s="23"/>
      <c r="B113" s="24"/>
      <c r="C113" s="24" t="s">
        <v>281</v>
      </c>
      <c r="D113" s="25"/>
      <c r="E113" s="10"/>
      <c r="F113" s="27">
        <f>Source!AL35</f>
        <v>28.07</v>
      </c>
      <c r="G113" s="26" t="str">
        <f>Source!DD35</f>
        <v/>
      </c>
      <c r="H113" s="10">
        <f>Source!AW35</f>
        <v>1.081</v>
      </c>
      <c r="I113" s="28">
        <f>ROUND((ROUND((Source!AC35*Source!AW35*Source!I35),2)),2)</f>
        <v>10.92</v>
      </c>
      <c r="J113" s="10">
        <f>IF(Source!BC35&lt;&gt; 0, Source!BC35, 1)</f>
        <v>5.29</v>
      </c>
      <c r="K113" s="28">
        <f>Source!P35</f>
        <v>57.77</v>
      </c>
    </row>
    <row r="114" spans="1:27" ht="14.25" x14ac:dyDescent="0.2">
      <c r="A114" s="23"/>
      <c r="B114" s="24"/>
      <c r="C114" s="24" t="s">
        <v>282</v>
      </c>
      <c r="D114" s="25" t="s">
        <v>283</v>
      </c>
      <c r="E114" s="10">
        <f>Source!DN35</f>
        <v>114</v>
      </c>
      <c r="F114" s="27"/>
      <c r="G114" s="26"/>
      <c r="H114" s="10"/>
      <c r="I114" s="28">
        <f>SUM(Q108:Q113)</f>
        <v>141.25</v>
      </c>
      <c r="J114" s="10">
        <f>Source!BZ35</f>
        <v>77</v>
      </c>
      <c r="K114" s="28">
        <f>SUM(R108:R113)</f>
        <v>2340.2399999999998</v>
      </c>
    </row>
    <row r="115" spans="1:27" ht="14.25" x14ac:dyDescent="0.2">
      <c r="A115" s="23"/>
      <c r="B115" s="24"/>
      <c r="C115" s="24" t="s">
        <v>284</v>
      </c>
      <c r="D115" s="25" t="s">
        <v>283</v>
      </c>
      <c r="E115" s="10">
        <f>Source!DO35</f>
        <v>67</v>
      </c>
      <c r="F115" s="27"/>
      <c r="G115" s="26"/>
      <c r="H115" s="10"/>
      <c r="I115" s="28">
        <f>SUM(S108:S114)</f>
        <v>83.01</v>
      </c>
      <c r="J115" s="10">
        <f>Source!CA35</f>
        <v>41</v>
      </c>
      <c r="K115" s="28">
        <f>SUM(T108:T114)</f>
        <v>1246.0999999999999</v>
      </c>
    </row>
    <row r="116" spans="1:27" ht="14.25" x14ac:dyDescent="0.2">
      <c r="A116" s="23"/>
      <c r="B116" s="24"/>
      <c r="C116" s="24" t="s">
        <v>285</v>
      </c>
      <c r="D116" s="25" t="s">
        <v>283</v>
      </c>
      <c r="E116" s="10">
        <f>175</f>
        <v>175</v>
      </c>
      <c r="F116" s="27"/>
      <c r="G116" s="26"/>
      <c r="H116" s="10"/>
      <c r="I116" s="28">
        <f>SUM(U108:U115)</f>
        <v>87.15</v>
      </c>
      <c r="J116" s="10">
        <f>157</f>
        <v>157</v>
      </c>
      <c r="K116" s="28">
        <f>SUM(V108:V115)</f>
        <v>1917.9</v>
      </c>
    </row>
    <row r="117" spans="1:27" ht="14.25" x14ac:dyDescent="0.2">
      <c r="A117" s="23"/>
      <c r="B117" s="24"/>
      <c r="C117" s="24" t="s">
        <v>286</v>
      </c>
      <c r="D117" s="25" t="s">
        <v>287</v>
      </c>
      <c r="E117" s="10">
        <f>Source!AQ35</f>
        <v>21.8</v>
      </c>
      <c r="F117" s="27"/>
      <c r="G117" s="26" t="str">
        <f>Source!DI35</f>
        <v>)*1,2</v>
      </c>
      <c r="H117" s="10">
        <f>Source!AV35</f>
        <v>1.0669999999999999</v>
      </c>
      <c r="I117" s="28">
        <f>Source!U35</f>
        <v>10.048579199999999</v>
      </c>
      <c r="J117" s="10"/>
      <c r="K117" s="28"/>
    </row>
    <row r="118" spans="1:27" ht="15" x14ac:dyDescent="0.25">
      <c r="A118" s="31"/>
      <c r="B118" s="31"/>
      <c r="C118" s="31"/>
      <c r="D118" s="31"/>
      <c r="E118" s="31"/>
      <c r="F118" s="31"/>
      <c r="G118" s="31"/>
      <c r="H118" s="56">
        <f>I110+I111+I113+I114+I115+I116</f>
        <v>747.0200000000001</v>
      </c>
      <c r="I118" s="56"/>
      <c r="J118" s="56">
        <f>K110+K111+K113+K114+K115+K116</f>
        <v>10300.74</v>
      </c>
      <c r="K118" s="56"/>
      <c r="O118" s="30">
        <f>I110+I111+I113+I114+I115+I116</f>
        <v>747.0200000000001</v>
      </c>
      <c r="P118" s="30">
        <f>K110+K111+K113+K114+K115+K116</f>
        <v>10300.74</v>
      </c>
      <c r="X118">
        <f>IF(Source!BI35&lt;=1,I110+I111+I113+I114+I115+I116-0, 0)</f>
        <v>0</v>
      </c>
      <c r="Y118">
        <f>IF(Source!BI35=2,I110+I111+I113+I114+I115+I116-0, 0)</f>
        <v>747.0200000000001</v>
      </c>
      <c r="Z118">
        <f>IF(Source!BI35=3,I110+I111+I113+I114+I115+I116-0, 0)</f>
        <v>0</v>
      </c>
      <c r="AA118">
        <f>IF(Source!BI35=4,I110+I111+I113+I114+I115+I116,0)</f>
        <v>0</v>
      </c>
    </row>
    <row r="119" spans="1:27" ht="85.5" x14ac:dyDescent="0.2">
      <c r="A119" s="23" t="str">
        <f>Source!E36</f>
        <v>9</v>
      </c>
      <c r="B119" s="24" t="str">
        <f>Source!F36</f>
        <v>4.8-79-4</v>
      </c>
      <c r="C119" s="24" t="s">
        <v>67</v>
      </c>
      <c r="D119" s="25" t="str">
        <f>Source!H36</f>
        <v>100 м</v>
      </c>
      <c r="E119" s="10">
        <f>Source!I36</f>
        <v>0.36</v>
      </c>
      <c r="F119" s="27"/>
      <c r="G119" s="26"/>
      <c r="H119" s="10"/>
      <c r="I119" s="28"/>
      <c r="J119" s="10"/>
      <c r="K119" s="28"/>
      <c r="Q119">
        <f>ROUND((Source!DN36/100)*ROUND((ROUND((Source!AF36*Source!AV36*Source!I36),2)),2), 2)</f>
        <v>42.37</v>
      </c>
      <c r="R119">
        <f>Source!X36</f>
        <v>702.07</v>
      </c>
      <c r="S119">
        <f>ROUND((Source!DO36/100)*ROUND((ROUND((Source!AF36*Source!AV36*Source!I36),2)),2), 2)</f>
        <v>24.9</v>
      </c>
      <c r="T119">
        <f>Source!Y36</f>
        <v>373.83</v>
      </c>
      <c r="U119">
        <f>ROUND((175/100)*ROUND((ROUND((Source!AE36*Source!AV36*Source!I36),2)),2), 2)</f>
        <v>26.15</v>
      </c>
      <c r="V119">
        <f>ROUND((157/100)*ROUND(ROUND((ROUND((Source!AE36*Source!AV36*Source!I36),2)*Source!BS36),2), 2), 2)</f>
        <v>575.37</v>
      </c>
    </row>
    <row r="120" spans="1:27" x14ac:dyDescent="0.2">
      <c r="C120" s="32" t="str">
        <f>"Объем: "&amp;Source!I36&amp;"=36/"&amp;"100"</f>
        <v>Объем: 0,36=36/100</v>
      </c>
    </row>
    <row r="121" spans="1:27" ht="28.5" x14ac:dyDescent="0.2">
      <c r="A121" s="23"/>
      <c r="B121" s="24"/>
      <c r="C121" s="24" t="s">
        <v>278</v>
      </c>
      <c r="D121" s="25"/>
      <c r="E121" s="10"/>
      <c r="F121" s="27">
        <f>Source!AO36</f>
        <v>268.79000000000002</v>
      </c>
      <c r="G121" s="26" t="str">
        <f>Source!DG36</f>
        <v>)*0,3)*1,2</v>
      </c>
      <c r="H121" s="10">
        <f>Source!AV36</f>
        <v>1.0669999999999999</v>
      </c>
      <c r="I121" s="28">
        <f>ROUND((ROUND((Source!AF36*Source!AV36*Source!I36),2)),2)</f>
        <v>37.17</v>
      </c>
      <c r="J121" s="10">
        <f>IF(Source!BA36&lt;&gt; 0, Source!BA36, 1)</f>
        <v>24.53</v>
      </c>
      <c r="K121" s="28">
        <f>Source!S36</f>
        <v>911.78</v>
      </c>
      <c r="W121">
        <f>I121</f>
        <v>37.17</v>
      </c>
    </row>
    <row r="122" spans="1:27" ht="28.5" x14ac:dyDescent="0.2">
      <c r="A122" s="23"/>
      <c r="B122" s="24"/>
      <c r="C122" s="24" t="s">
        <v>279</v>
      </c>
      <c r="D122" s="25"/>
      <c r="E122" s="10"/>
      <c r="F122" s="27">
        <f>Source!AM36</f>
        <v>652.54999999999995</v>
      </c>
      <c r="G122" s="26" t="str">
        <f>Source!DE36</f>
        <v>)*0,3)*1,2</v>
      </c>
      <c r="H122" s="10">
        <f>Source!AV36</f>
        <v>1.0669999999999999</v>
      </c>
      <c r="I122" s="28">
        <f>(ROUND((ROUND(((((Source!ET36*0.3)*1.2))*Source!AV36*Source!I36),2)),2)+ROUND((ROUND(((Source!AE36-(((Source!EU36*0.3)*1.2)))*Source!AV36*Source!I36),2)),2))</f>
        <v>90.24</v>
      </c>
      <c r="J122" s="10">
        <f>IF(Source!BB36&lt;&gt; 0, Source!BB36, 1)</f>
        <v>5.65</v>
      </c>
      <c r="K122" s="28">
        <f>Source!Q36</f>
        <v>509.86</v>
      </c>
    </row>
    <row r="123" spans="1:27" ht="28.5" x14ac:dyDescent="0.2">
      <c r="A123" s="23"/>
      <c r="B123" s="24"/>
      <c r="C123" s="24" t="s">
        <v>280</v>
      </c>
      <c r="D123" s="25"/>
      <c r="E123" s="10"/>
      <c r="F123" s="27">
        <f>Source!AN36</f>
        <v>108.03</v>
      </c>
      <c r="G123" s="26" t="str">
        <f>Source!DF36</f>
        <v>)*0,3)*1,2</v>
      </c>
      <c r="H123" s="10">
        <f>Source!AV36</f>
        <v>1.0669999999999999</v>
      </c>
      <c r="I123" s="29">
        <f>ROUND((ROUND((Source!AE36*Source!AV36*Source!I36),2)),2)</f>
        <v>14.94</v>
      </c>
      <c r="J123" s="10">
        <f>IF(Source!BS36&lt;&gt; 0, Source!BS36, 1)</f>
        <v>24.53</v>
      </c>
      <c r="K123" s="29">
        <f>Source!R36</f>
        <v>366.48</v>
      </c>
      <c r="W123">
        <f>I123</f>
        <v>14.94</v>
      </c>
    </row>
    <row r="124" spans="1:27" ht="14.25" x14ac:dyDescent="0.2">
      <c r="A124" s="23"/>
      <c r="B124" s="24"/>
      <c r="C124" s="24" t="s">
        <v>282</v>
      </c>
      <c r="D124" s="25" t="s">
        <v>283</v>
      </c>
      <c r="E124" s="10">
        <f>Source!DN36</f>
        <v>114</v>
      </c>
      <c r="F124" s="27"/>
      <c r="G124" s="26"/>
      <c r="H124" s="10"/>
      <c r="I124" s="28">
        <f>SUM(Q119:Q123)</f>
        <v>42.37</v>
      </c>
      <c r="J124" s="10">
        <f>Source!BZ36</f>
        <v>77</v>
      </c>
      <c r="K124" s="28">
        <f>SUM(R119:R123)</f>
        <v>702.07</v>
      </c>
    </row>
    <row r="125" spans="1:27" ht="14.25" x14ac:dyDescent="0.2">
      <c r="A125" s="23"/>
      <c r="B125" s="24"/>
      <c r="C125" s="24" t="s">
        <v>284</v>
      </c>
      <c r="D125" s="25" t="s">
        <v>283</v>
      </c>
      <c r="E125" s="10">
        <f>Source!DO36</f>
        <v>67</v>
      </c>
      <c r="F125" s="27"/>
      <c r="G125" s="26"/>
      <c r="H125" s="10"/>
      <c r="I125" s="28">
        <f>SUM(S119:S124)</f>
        <v>24.9</v>
      </c>
      <c r="J125" s="10">
        <f>Source!CA36</f>
        <v>41</v>
      </c>
      <c r="K125" s="28">
        <f>SUM(T119:T124)</f>
        <v>373.83</v>
      </c>
    </row>
    <row r="126" spans="1:27" ht="14.25" x14ac:dyDescent="0.2">
      <c r="A126" s="23"/>
      <c r="B126" s="24"/>
      <c r="C126" s="24" t="s">
        <v>285</v>
      </c>
      <c r="D126" s="25" t="s">
        <v>283</v>
      </c>
      <c r="E126" s="10">
        <f>175</f>
        <v>175</v>
      </c>
      <c r="F126" s="27"/>
      <c r="G126" s="26"/>
      <c r="H126" s="10"/>
      <c r="I126" s="28">
        <f>SUM(U119:U125)</f>
        <v>26.15</v>
      </c>
      <c r="J126" s="10">
        <f>157</f>
        <v>157</v>
      </c>
      <c r="K126" s="28">
        <f>SUM(V119:V125)</f>
        <v>575.37</v>
      </c>
    </row>
    <row r="127" spans="1:27" ht="28.5" x14ac:dyDescent="0.2">
      <c r="A127" s="23"/>
      <c r="B127" s="24"/>
      <c r="C127" s="24" t="s">
        <v>286</v>
      </c>
      <c r="D127" s="25" t="s">
        <v>287</v>
      </c>
      <c r="E127" s="10">
        <f>Source!AQ36</f>
        <v>21.8</v>
      </c>
      <c r="F127" s="27"/>
      <c r="G127" s="26" t="str">
        <f>Source!DI36</f>
        <v>)*0,3)*1,2</v>
      </c>
      <c r="H127" s="10">
        <f>Source!AV36</f>
        <v>1.0669999999999999</v>
      </c>
      <c r="I127" s="28">
        <f>Source!U36</f>
        <v>3.0145737599999998</v>
      </c>
      <c r="J127" s="10"/>
      <c r="K127" s="28"/>
    </row>
    <row r="128" spans="1:27" ht="15" x14ac:dyDescent="0.25">
      <c r="A128" s="31"/>
      <c r="B128" s="31"/>
      <c r="C128" s="31"/>
      <c r="D128" s="31"/>
      <c r="E128" s="31"/>
      <c r="F128" s="31"/>
      <c r="G128" s="31"/>
      <c r="H128" s="56">
        <f>I121+I122+I124+I125+I126</f>
        <v>220.83</v>
      </c>
      <c r="I128" s="56"/>
      <c r="J128" s="56">
        <f>K121+K122+K124+K125+K126</f>
        <v>3072.91</v>
      </c>
      <c r="K128" s="56"/>
      <c r="O128" s="30">
        <f>I121+I122+I124+I125+I126</f>
        <v>220.83</v>
      </c>
      <c r="P128" s="30">
        <f>K121+K122+K124+K125+K126</f>
        <v>3072.91</v>
      </c>
      <c r="X128">
        <f>IF(Source!BI36&lt;=1,I121+I122+I124+I125+I126-0, 0)</f>
        <v>0</v>
      </c>
      <c r="Y128">
        <f>IF(Source!BI36=2,I121+I122+I124+I125+I126-0, 0)</f>
        <v>220.83</v>
      </c>
      <c r="Z128">
        <f>IF(Source!BI36=3,I121+I122+I124+I125+I126-0, 0)</f>
        <v>0</v>
      </c>
      <c r="AA128">
        <f>IF(Source!BI36=4,I121+I122+I124+I125+I126,0)</f>
        <v>0</v>
      </c>
    </row>
    <row r="129" spans="1:27" ht="42.75" x14ac:dyDescent="0.2">
      <c r="A129" s="23" t="str">
        <f>Source!E37</f>
        <v>10</v>
      </c>
      <c r="B129" s="24" t="str">
        <f>Source!F37</f>
        <v>4.8-76-1</v>
      </c>
      <c r="C129" s="24" t="s">
        <v>72</v>
      </c>
      <c r="D129" s="25" t="str">
        <f>Source!H37</f>
        <v>100 шт.</v>
      </c>
      <c r="E129" s="10">
        <f>Source!I37</f>
        <v>0.43</v>
      </c>
      <c r="F129" s="27"/>
      <c r="G129" s="26"/>
      <c r="H129" s="10"/>
      <c r="I129" s="28"/>
      <c r="J129" s="10"/>
      <c r="K129" s="28"/>
      <c r="Q129">
        <f>ROUND((Source!DN37/100)*ROUND((ROUND((Source!AF37*Source!AV37*Source!I37),2)),2), 2)</f>
        <v>92.1</v>
      </c>
      <c r="R129">
        <f>Source!X37</f>
        <v>1525.97</v>
      </c>
      <c r="S129">
        <f>ROUND((Source!DO37/100)*ROUND((ROUND((Source!AF37*Source!AV37*Source!I37),2)),2), 2)</f>
        <v>54.13</v>
      </c>
      <c r="T129">
        <f>Source!Y37</f>
        <v>812.53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">
      <c r="C130" s="32" t="str">
        <f>"Объем: "&amp;Source!I37&amp;"=43/"&amp;"100"</f>
        <v>Объем: 0,43=43/100</v>
      </c>
    </row>
    <row r="131" spans="1:27" ht="14.25" x14ac:dyDescent="0.2">
      <c r="A131" s="23"/>
      <c r="B131" s="24"/>
      <c r="C131" s="24" t="s">
        <v>278</v>
      </c>
      <c r="D131" s="25"/>
      <c r="E131" s="10"/>
      <c r="F131" s="27">
        <f>Source!AO37</f>
        <v>146.72999999999999</v>
      </c>
      <c r="G131" s="26" t="str">
        <f>Source!DG37</f>
        <v>)*1,2</v>
      </c>
      <c r="H131" s="10">
        <f>Source!AV37</f>
        <v>1.0669999999999999</v>
      </c>
      <c r="I131" s="28">
        <f>ROUND((ROUND((Source!AF37*Source!AV37*Source!I37),2)),2)</f>
        <v>80.790000000000006</v>
      </c>
      <c r="J131" s="10">
        <f>IF(Source!BA37&lt;&gt; 0, Source!BA37, 1)</f>
        <v>24.53</v>
      </c>
      <c r="K131" s="28">
        <f>Source!S37</f>
        <v>1981.78</v>
      </c>
      <c r="W131">
        <f>I131</f>
        <v>80.790000000000006</v>
      </c>
    </row>
    <row r="132" spans="1:27" ht="14.25" x14ac:dyDescent="0.2">
      <c r="A132" s="23"/>
      <c r="B132" s="24"/>
      <c r="C132" s="24" t="s">
        <v>281</v>
      </c>
      <c r="D132" s="25"/>
      <c r="E132" s="10"/>
      <c r="F132" s="27">
        <f>Source!AL37</f>
        <v>1.26</v>
      </c>
      <c r="G132" s="26" t="str">
        <f>Source!DD37</f>
        <v/>
      </c>
      <c r="H132" s="10">
        <f>Source!AW37</f>
        <v>1.081</v>
      </c>
      <c r="I132" s="28">
        <f>ROUND((ROUND((Source!AC37*Source!AW37*Source!I37),2)),2)</f>
        <v>0.59</v>
      </c>
      <c r="J132" s="10">
        <f>IF(Source!BC37&lt;&gt; 0, Source!BC37, 1)</f>
        <v>5.29</v>
      </c>
      <c r="K132" s="28">
        <f>Source!P37</f>
        <v>3.12</v>
      </c>
    </row>
    <row r="133" spans="1:27" ht="14.25" x14ac:dyDescent="0.2">
      <c r="A133" s="23"/>
      <c r="B133" s="24"/>
      <c r="C133" s="24" t="s">
        <v>282</v>
      </c>
      <c r="D133" s="25" t="s">
        <v>283</v>
      </c>
      <c r="E133" s="10">
        <f>Source!DN37</f>
        <v>114</v>
      </c>
      <c r="F133" s="27"/>
      <c r="G133" s="26"/>
      <c r="H133" s="10"/>
      <c r="I133" s="28">
        <f>SUM(Q129:Q132)</f>
        <v>92.1</v>
      </c>
      <c r="J133" s="10">
        <f>Source!BZ37</f>
        <v>77</v>
      </c>
      <c r="K133" s="28">
        <f>SUM(R129:R132)</f>
        <v>1525.97</v>
      </c>
    </row>
    <row r="134" spans="1:27" ht="14.25" x14ac:dyDescent="0.2">
      <c r="A134" s="23"/>
      <c r="B134" s="24"/>
      <c r="C134" s="24" t="s">
        <v>284</v>
      </c>
      <c r="D134" s="25" t="s">
        <v>283</v>
      </c>
      <c r="E134" s="10">
        <f>Source!DO37</f>
        <v>67</v>
      </c>
      <c r="F134" s="27"/>
      <c r="G134" s="26"/>
      <c r="H134" s="10"/>
      <c r="I134" s="28">
        <f>SUM(S129:S133)</f>
        <v>54.13</v>
      </c>
      <c r="J134" s="10">
        <f>Source!CA37</f>
        <v>41</v>
      </c>
      <c r="K134" s="28">
        <f>SUM(T129:T133)</f>
        <v>812.53</v>
      </c>
    </row>
    <row r="135" spans="1:27" ht="14.25" x14ac:dyDescent="0.2">
      <c r="A135" s="23"/>
      <c r="B135" s="24"/>
      <c r="C135" s="24" t="s">
        <v>286</v>
      </c>
      <c r="D135" s="25" t="s">
        <v>287</v>
      </c>
      <c r="E135" s="10">
        <f>Source!AQ37</f>
        <v>11.9</v>
      </c>
      <c r="F135" s="27"/>
      <c r="G135" s="26" t="str">
        <f>Source!DI37</f>
        <v>)*1,2</v>
      </c>
      <c r="H135" s="10">
        <f>Source!AV37</f>
        <v>1.0669999999999999</v>
      </c>
      <c r="I135" s="28">
        <f>Source!U37</f>
        <v>6.5518067999999996</v>
      </c>
      <c r="J135" s="10"/>
      <c r="K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56">
        <f>I131+I132+I133+I134</f>
        <v>227.61</v>
      </c>
      <c r="I136" s="56"/>
      <c r="J136" s="56">
        <f>K131+K132+K133+K134</f>
        <v>4323.3999999999996</v>
      </c>
      <c r="K136" s="56"/>
      <c r="O136" s="30">
        <f>I131+I132+I133+I134</f>
        <v>227.61</v>
      </c>
      <c r="P136" s="30">
        <f>K131+K132+K133+K134</f>
        <v>4323.3999999999996</v>
      </c>
      <c r="X136">
        <f>IF(Source!BI37&lt;=1,I131+I132+I133+I134-0, 0)</f>
        <v>0</v>
      </c>
      <c r="Y136">
        <f>IF(Source!BI37=2,I131+I132+I133+I134-0, 0)</f>
        <v>227.61</v>
      </c>
      <c r="Z136">
        <f>IF(Source!BI37=3,I131+I132+I133+I134-0, 0)</f>
        <v>0</v>
      </c>
      <c r="AA136">
        <f>IF(Source!BI37=4,I131+I132+I133+I134,0)</f>
        <v>0</v>
      </c>
    </row>
    <row r="137" spans="1:27" ht="99.75" x14ac:dyDescent="0.2">
      <c r="A137" s="23" t="str">
        <f>Source!E38</f>
        <v>11</v>
      </c>
      <c r="B137" s="24" t="str">
        <f>Source!F38</f>
        <v>4.8-316-1</v>
      </c>
      <c r="C137" s="24" t="s">
        <v>77</v>
      </c>
      <c r="D137" s="25" t="str">
        <f>Source!H38</f>
        <v>шт.</v>
      </c>
      <c r="E137" s="10">
        <f>Source!I38</f>
        <v>8</v>
      </c>
      <c r="F137" s="27"/>
      <c r="G137" s="26"/>
      <c r="H137" s="10"/>
      <c r="I137" s="28"/>
      <c r="J137" s="10"/>
      <c r="K137" s="28"/>
      <c r="Q137">
        <f>ROUND((Source!DN38/100)*ROUND((ROUND((Source!AF38*Source!AV38*Source!I38),2)),2), 2)</f>
        <v>425.63</v>
      </c>
      <c r="R137">
        <f>Source!X38</f>
        <v>7135.44</v>
      </c>
      <c r="S137">
        <f>ROUND((Source!DO38/100)*ROUND((ROUND((Source!AF38*Source!AV38*Source!I38),2)),2), 2)</f>
        <v>250.15</v>
      </c>
      <c r="T137">
        <f>Source!Y38</f>
        <v>3799.39</v>
      </c>
      <c r="U137">
        <f>ROUND((175/100)*ROUND((ROUND((Source!AE38*Source!AV38*Source!I38),2)),2), 2)</f>
        <v>3.05</v>
      </c>
      <c r="V137">
        <f>ROUND((157/100)*ROUND(ROUND((ROUND((Source!AE38*Source!AV38*Source!I38),2)*Source!BS38),2), 2), 2)</f>
        <v>67.81</v>
      </c>
    </row>
    <row r="138" spans="1:27" ht="14.25" x14ac:dyDescent="0.2">
      <c r="A138" s="23"/>
      <c r="B138" s="24"/>
      <c r="C138" s="24" t="s">
        <v>278</v>
      </c>
      <c r="D138" s="25"/>
      <c r="E138" s="10"/>
      <c r="F138" s="27">
        <f>Source!AO38</f>
        <v>36.450000000000003</v>
      </c>
      <c r="G138" s="26" t="str">
        <f>Source!DG38</f>
        <v>)*1,2</v>
      </c>
      <c r="H138" s="10">
        <f>Source!AV38</f>
        <v>1.0669999999999999</v>
      </c>
      <c r="I138" s="28">
        <f>ROUND((ROUND((Source!AF38*Source!AV38*Source!I38),2)),2)</f>
        <v>373.36</v>
      </c>
      <c r="J138" s="10">
        <f>IF(Source!BA38&lt;&gt; 0, Source!BA38, 1)</f>
        <v>24.82</v>
      </c>
      <c r="K138" s="28">
        <f>Source!S38</f>
        <v>9266.7999999999993</v>
      </c>
      <c r="W138">
        <f>I138</f>
        <v>373.36</v>
      </c>
    </row>
    <row r="139" spans="1:27" ht="14.25" x14ac:dyDescent="0.2">
      <c r="A139" s="23"/>
      <c r="B139" s="24"/>
      <c r="C139" s="24" t="s">
        <v>279</v>
      </c>
      <c r="D139" s="25"/>
      <c r="E139" s="10"/>
      <c r="F139" s="27">
        <f>Source!AM38</f>
        <v>1.18</v>
      </c>
      <c r="G139" s="26" t="str">
        <f>Source!DE38</f>
        <v>)*1,2</v>
      </c>
      <c r="H139" s="10">
        <f>Source!AV38</f>
        <v>1.0669999999999999</v>
      </c>
      <c r="I139" s="28">
        <f>(ROUND((ROUND((((Source!ET38*1.2))*Source!AV38*Source!I38),2)),2)+ROUND((ROUND(((Source!AE38-((Source!EU38*1.2)))*Source!AV38*Source!I38),2)),2))</f>
        <v>12.09</v>
      </c>
      <c r="J139" s="10">
        <f>IF(Source!BB38&lt;&gt; 0, Source!BB38, 1)</f>
        <v>7.86</v>
      </c>
      <c r="K139" s="28">
        <f>Source!Q38</f>
        <v>95.03</v>
      </c>
    </row>
    <row r="140" spans="1:27" ht="14.25" x14ac:dyDescent="0.2">
      <c r="A140" s="23"/>
      <c r="B140" s="24"/>
      <c r="C140" s="24" t="s">
        <v>280</v>
      </c>
      <c r="D140" s="25"/>
      <c r="E140" s="10"/>
      <c r="F140" s="27">
        <f>Source!AN38</f>
        <v>0.17</v>
      </c>
      <c r="G140" s="26" t="str">
        <f>Source!DF38</f>
        <v>)*1,2</v>
      </c>
      <c r="H140" s="10">
        <f>Source!AV38</f>
        <v>1.0669999999999999</v>
      </c>
      <c r="I140" s="29">
        <f>ROUND((ROUND((Source!AE38*Source!AV38*Source!I38),2)),2)</f>
        <v>1.74</v>
      </c>
      <c r="J140" s="10">
        <f>IF(Source!BS38&lt;&gt; 0, Source!BS38, 1)</f>
        <v>24.82</v>
      </c>
      <c r="K140" s="29">
        <f>Source!R38</f>
        <v>43.19</v>
      </c>
      <c r="W140">
        <f>I140</f>
        <v>1.74</v>
      </c>
    </row>
    <row r="141" spans="1:27" ht="14.25" x14ac:dyDescent="0.2">
      <c r="A141" s="23"/>
      <c r="B141" s="24"/>
      <c r="C141" s="24" t="s">
        <v>281</v>
      </c>
      <c r="D141" s="25"/>
      <c r="E141" s="10"/>
      <c r="F141" s="27">
        <f>Source!AL38</f>
        <v>7.53</v>
      </c>
      <c r="G141" s="26" t="str">
        <f>Source!DD38</f>
        <v/>
      </c>
      <c r="H141" s="10">
        <f>Source!AW38</f>
        <v>1.028</v>
      </c>
      <c r="I141" s="28">
        <f>ROUND((ROUND((Source!AC38*Source!AW38*Source!I38),2)),2)</f>
        <v>61.93</v>
      </c>
      <c r="J141" s="10">
        <f>IF(Source!BC38&lt;&gt; 0, Source!BC38, 1)</f>
        <v>7.77</v>
      </c>
      <c r="K141" s="28">
        <f>Source!P38</f>
        <v>481.2</v>
      </c>
    </row>
    <row r="142" spans="1:27" ht="14.25" x14ac:dyDescent="0.2">
      <c r="A142" s="23"/>
      <c r="B142" s="24"/>
      <c r="C142" s="24" t="s">
        <v>282</v>
      </c>
      <c r="D142" s="25" t="s">
        <v>283</v>
      </c>
      <c r="E142" s="10">
        <f>Source!DN38</f>
        <v>114</v>
      </c>
      <c r="F142" s="27"/>
      <c r="G142" s="26"/>
      <c r="H142" s="10"/>
      <c r="I142" s="28">
        <f>SUM(Q137:Q141)</f>
        <v>425.63</v>
      </c>
      <c r="J142" s="10">
        <f>Source!BZ38</f>
        <v>77</v>
      </c>
      <c r="K142" s="28">
        <f>SUM(R137:R141)</f>
        <v>7135.44</v>
      </c>
    </row>
    <row r="143" spans="1:27" ht="14.25" x14ac:dyDescent="0.2">
      <c r="A143" s="23"/>
      <c r="B143" s="24"/>
      <c r="C143" s="24" t="s">
        <v>284</v>
      </c>
      <c r="D143" s="25" t="s">
        <v>283</v>
      </c>
      <c r="E143" s="10">
        <f>Source!DO38</f>
        <v>67</v>
      </c>
      <c r="F143" s="27"/>
      <c r="G143" s="26"/>
      <c r="H143" s="10"/>
      <c r="I143" s="28">
        <f>SUM(S137:S142)</f>
        <v>250.15</v>
      </c>
      <c r="J143" s="10">
        <f>Source!CA38</f>
        <v>41</v>
      </c>
      <c r="K143" s="28">
        <f>SUM(T137:T142)</f>
        <v>3799.39</v>
      </c>
    </row>
    <row r="144" spans="1:27" ht="14.25" x14ac:dyDescent="0.2">
      <c r="A144" s="23"/>
      <c r="B144" s="24"/>
      <c r="C144" s="24" t="s">
        <v>285</v>
      </c>
      <c r="D144" s="25" t="s">
        <v>283</v>
      </c>
      <c r="E144" s="10">
        <f>175</f>
        <v>175</v>
      </c>
      <c r="F144" s="27"/>
      <c r="G144" s="26"/>
      <c r="H144" s="10"/>
      <c r="I144" s="28">
        <f>SUM(U137:U143)</f>
        <v>3.05</v>
      </c>
      <c r="J144" s="10">
        <f>157</f>
        <v>157</v>
      </c>
      <c r="K144" s="28">
        <f>SUM(V137:V143)</f>
        <v>67.81</v>
      </c>
    </row>
    <row r="145" spans="1:27" ht="14.25" x14ac:dyDescent="0.2">
      <c r="A145" s="23"/>
      <c r="B145" s="24"/>
      <c r="C145" s="24" t="s">
        <v>286</v>
      </c>
      <c r="D145" s="25" t="s">
        <v>287</v>
      </c>
      <c r="E145" s="10">
        <f>Source!AQ38</f>
        <v>2.5099999999999998</v>
      </c>
      <c r="F145" s="27"/>
      <c r="G145" s="26" t="str">
        <f>Source!DI38</f>
        <v>)*1,2</v>
      </c>
      <c r="H145" s="10">
        <f>Source!AV38</f>
        <v>1.0669999999999999</v>
      </c>
      <c r="I145" s="28">
        <f>Source!U38</f>
        <v>25.710431999999994</v>
      </c>
      <c r="J145" s="10"/>
      <c r="K145" s="28"/>
    </row>
    <row r="146" spans="1:27" ht="15" x14ac:dyDescent="0.25">
      <c r="A146" s="31"/>
      <c r="B146" s="31"/>
      <c r="C146" s="31"/>
      <c r="D146" s="31"/>
      <c r="E146" s="31"/>
      <c r="F146" s="31"/>
      <c r="G146" s="31"/>
      <c r="H146" s="56">
        <f>I138+I139+I141+I142+I143+I144</f>
        <v>1126.21</v>
      </c>
      <c r="I146" s="56"/>
      <c r="J146" s="56">
        <f>K138+K139+K141+K142+K143+K144</f>
        <v>20845.670000000002</v>
      </c>
      <c r="K146" s="56"/>
      <c r="O146" s="30">
        <f>I138+I139+I141+I142+I143+I144</f>
        <v>1126.21</v>
      </c>
      <c r="P146" s="30">
        <f>K138+K139+K141+K142+K143+K144</f>
        <v>20845.670000000002</v>
      </c>
      <c r="X146">
        <f>IF(Source!BI38&lt;=1,I138+I139+I141+I142+I143+I144-0, 0)</f>
        <v>0</v>
      </c>
      <c r="Y146">
        <f>IF(Source!BI38=2,I138+I139+I141+I142+I143+I144-0, 0)</f>
        <v>1126.21</v>
      </c>
      <c r="Z146">
        <f>IF(Source!BI38=3,I138+I139+I141+I142+I143+I144-0, 0)</f>
        <v>0</v>
      </c>
      <c r="AA146">
        <f>IF(Source!BI38=4,I138+I139+I141+I142+I143+I144,0)</f>
        <v>0</v>
      </c>
    </row>
    <row r="147" spans="1:27" ht="57" x14ac:dyDescent="0.2">
      <c r="A147" s="23" t="str">
        <f>Source!E39</f>
        <v>12</v>
      </c>
      <c r="B147" s="24" t="str">
        <f>Source!F39</f>
        <v>4.8-98-4</v>
      </c>
      <c r="C147" s="24" t="s">
        <v>83</v>
      </c>
      <c r="D147" s="25" t="str">
        <f>Source!H39</f>
        <v>шт.</v>
      </c>
      <c r="E147" s="10">
        <f>Source!I39</f>
        <v>3</v>
      </c>
      <c r="F147" s="27"/>
      <c r="G147" s="26"/>
      <c r="H147" s="10"/>
      <c r="I147" s="28"/>
      <c r="J147" s="10"/>
      <c r="K147" s="28"/>
      <c r="Q147">
        <f>ROUND((Source!DN39/100)*ROUND((ROUND((Source!AF39*Source!AV39*Source!I39),2)),2), 2)</f>
        <v>561.52</v>
      </c>
      <c r="R147">
        <f>Source!X39</f>
        <v>9303.5300000000007</v>
      </c>
      <c r="S147">
        <f>ROUND((Source!DO39/100)*ROUND((ROUND((Source!AF39*Source!AV39*Source!I39),2)),2), 2)</f>
        <v>330.02</v>
      </c>
      <c r="T147">
        <f>Source!Y39</f>
        <v>4953.83</v>
      </c>
      <c r="U147">
        <f>ROUND((175/100)*ROUND((ROUND((Source!AE39*Source!AV39*Source!I39),2)),2), 2)</f>
        <v>1.35</v>
      </c>
      <c r="V147">
        <f>ROUND((157/100)*ROUND(ROUND((ROUND((Source!AE39*Source!AV39*Source!I39),2)*Source!BS39),2), 2), 2)</f>
        <v>29.66</v>
      </c>
    </row>
    <row r="148" spans="1:27" ht="14.25" x14ac:dyDescent="0.2">
      <c r="A148" s="23"/>
      <c r="B148" s="24"/>
      <c r="C148" s="24" t="s">
        <v>278</v>
      </c>
      <c r="D148" s="25"/>
      <c r="E148" s="10"/>
      <c r="F148" s="27">
        <f>Source!AO39</f>
        <v>128.22999999999999</v>
      </c>
      <c r="G148" s="26" t="str">
        <f>Source!DG39</f>
        <v>)*1,2</v>
      </c>
      <c r="H148" s="10">
        <f>Source!AV39</f>
        <v>1.0669999999999999</v>
      </c>
      <c r="I148" s="28">
        <f>ROUND((ROUND((Source!AF39*Source!AV39*Source!I39),2)),2)</f>
        <v>492.56</v>
      </c>
      <c r="J148" s="10">
        <f>IF(Source!BA39&lt;&gt; 0, Source!BA39, 1)</f>
        <v>24.53</v>
      </c>
      <c r="K148" s="28">
        <f>Source!S39</f>
        <v>12082.5</v>
      </c>
      <c r="W148">
        <f>I148</f>
        <v>492.56</v>
      </c>
    </row>
    <row r="149" spans="1:27" ht="14.25" x14ac:dyDescent="0.2">
      <c r="A149" s="23"/>
      <c r="B149" s="24"/>
      <c r="C149" s="24" t="s">
        <v>279</v>
      </c>
      <c r="D149" s="25"/>
      <c r="E149" s="10"/>
      <c r="F149" s="27">
        <f>Source!AM39</f>
        <v>0.85</v>
      </c>
      <c r="G149" s="26" t="str">
        <f>Source!DE39</f>
        <v>)*1,2</v>
      </c>
      <c r="H149" s="10">
        <f>Source!AV39</f>
        <v>1.0669999999999999</v>
      </c>
      <c r="I149" s="28">
        <f>(ROUND((ROUND((((Source!ET39*1.2))*Source!AV39*Source!I39),2)),2)+ROUND((ROUND(((Source!AE39-((Source!EU39*1.2)))*Source!AV39*Source!I39),2)),2))</f>
        <v>3.27</v>
      </c>
      <c r="J149" s="10">
        <f>IF(Source!BB39&lt;&gt; 0, Source!BB39, 1)</f>
        <v>8.77</v>
      </c>
      <c r="K149" s="28">
        <f>Source!Q39</f>
        <v>28.68</v>
      </c>
    </row>
    <row r="150" spans="1:27" ht="14.25" x14ac:dyDescent="0.2">
      <c r="A150" s="23"/>
      <c r="B150" s="24"/>
      <c r="C150" s="24" t="s">
        <v>280</v>
      </c>
      <c r="D150" s="25"/>
      <c r="E150" s="10"/>
      <c r="F150" s="27">
        <f>Source!AN39</f>
        <v>0.2</v>
      </c>
      <c r="G150" s="26" t="str">
        <f>Source!DF39</f>
        <v>)*1,2</v>
      </c>
      <c r="H150" s="10">
        <f>Source!AV39</f>
        <v>1.0669999999999999</v>
      </c>
      <c r="I150" s="29">
        <f>ROUND((ROUND((Source!AE39*Source!AV39*Source!I39),2)),2)</f>
        <v>0.77</v>
      </c>
      <c r="J150" s="10">
        <f>IF(Source!BS39&lt;&gt; 0, Source!BS39, 1)</f>
        <v>24.53</v>
      </c>
      <c r="K150" s="29">
        <f>Source!R39</f>
        <v>18.89</v>
      </c>
      <c r="W150">
        <f>I150</f>
        <v>0.77</v>
      </c>
    </row>
    <row r="151" spans="1:27" ht="14.25" x14ac:dyDescent="0.2">
      <c r="A151" s="23"/>
      <c r="B151" s="24"/>
      <c r="C151" s="24" t="s">
        <v>281</v>
      </c>
      <c r="D151" s="25"/>
      <c r="E151" s="10"/>
      <c r="F151" s="27">
        <f>Source!AL39</f>
        <v>30.17</v>
      </c>
      <c r="G151" s="26" t="str">
        <f>Source!DD39</f>
        <v/>
      </c>
      <c r="H151" s="10">
        <f>Source!AW39</f>
        <v>1.081</v>
      </c>
      <c r="I151" s="28">
        <f>ROUND((ROUND((Source!AC39*Source!AW39*Source!I39),2)),2)</f>
        <v>97.84</v>
      </c>
      <c r="J151" s="10">
        <f>IF(Source!BC39&lt;&gt; 0, Source!BC39, 1)</f>
        <v>5.29</v>
      </c>
      <c r="K151" s="28">
        <f>Source!P39</f>
        <v>517.57000000000005</v>
      </c>
    </row>
    <row r="152" spans="1:27" ht="14.25" x14ac:dyDescent="0.2">
      <c r="A152" s="23"/>
      <c r="B152" s="24"/>
      <c r="C152" s="24" t="s">
        <v>282</v>
      </c>
      <c r="D152" s="25" t="s">
        <v>283</v>
      </c>
      <c r="E152" s="10">
        <f>Source!DN39</f>
        <v>114</v>
      </c>
      <c r="F152" s="27"/>
      <c r="G152" s="26"/>
      <c r="H152" s="10"/>
      <c r="I152" s="28">
        <f>SUM(Q147:Q151)</f>
        <v>561.52</v>
      </c>
      <c r="J152" s="10">
        <f>Source!BZ39</f>
        <v>77</v>
      </c>
      <c r="K152" s="28">
        <f>SUM(R147:R151)</f>
        <v>9303.5300000000007</v>
      </c>
    </row>
    <row r="153" spans="1:27" ht="14.25" x14ac:dyDescent="0.2">
      <c r="A153" s="23"/>
      <c r="B153" s="24"/>
      <c r="C153" s="24" t="s">
        <v>284</v>
      </c>
      <c r="D153" s="25" t="s">
        <v>283</v>
      </c>
      <c r="E153" s="10">
        <f>Source!DO39</f>
        <v>67</v>
      </c>
      <c r="F153" s="27"/>
      <c r="G153" s="26"/>
      <c r="H153" s="10"/>
      <c r="I153" s="28">
        <f>SUM(S147:S152)</f>
        <v>330.02</v>
      </c>
      <c r="J153" s="10">
        <f>Source!CA39</f>
        <v>41</v>
      </c>
      <c r="K153" s="28">
        <f>SUM(T147:T152)</f>
        <v>4953.83</v>
      </c>
    </row>
    <row r="154" spans="1:27" ht="14.25" x14ac:dyDescent="0.2">
      <c r="A154" s="23"/>
      <c r="B154" s="24"/>
      <c r="C154" s="24" t="s">
        <v>285</v>
      </c>
      <c r="D154" s="25" t="s">
        <v>283</v>
      </c>
      <c r="E154" s="10">
        <f>175</f>
        <v>175</v>
      </c>
      <c r="F154" s="27"/>
      <c r="G154" s="26"/>
      <c r="H154" s="10"/>
      <c r="I154" s="28">
        <f>SUM(U147:U153)</f>
        <v>1.35</v>
      </c>
      <c r="J154" s="10">
        <f>157</f>
        <v>157</v>
      </c>
      <c r="K154" s="28">
        <f>SUM(V147:V153)</f>
        <v>29.66</v>
      </c>
    </row>
    <row r="155" spans="1:27" ht="14.25" x14ac:dyDescent="0.2">
      <c r="A155" s="23"/>
      <c r="B155" s="24"/>
      <c r="C155" s="24" t="s">
        <v>286</v>
      </c>
      <c r="D155" s="25" t="s">
        <v>287</v>
      </c>
      <c r="E155" s="10">
        <f>Source!AQ39</f>
        <v>10.4</v>
      </c>
      <c r="F155" s="27"/>
      <c r="G155" s="26" t="str">
        <f>Source!DI39</f>
        <v>)*1,2</v>
      </c>
      <c r="H155" s="10">
        <f>Source!AV39</f>
        <v>1.0669999999999999</v>
      </c>
      <c r="I155" s="28">
        <f>Source!U39</f>
        <v>39.948480000000004</v>
      </c>
      <c r="J155" s="10"/>
      <c r="K155" s="28"/>
    </row>
    <row r="156" spans="1:27" ht="15" x14ac:dyDescent="0.25">
      <c r="A156" s="31"/>
      <c r="B156" s="31"/>
      <c r="C156" s="31"/>
      <c r="D156" s="31"/>
      <c r="E156" s="31"/>
      <c r="F156" s="31"/>
      <c r="G156" s="31"/>
      <c r="H156" s="56">
        <f>I148+I149+I151+I152+I153+I154</f>
        <v>1486.56</v>
      </c>
      <c r="I156" s="56"/>
      <c r="J156" s="56">
        <f>K148+K149+K151+K152+K153+K154</f>
        <v>26915.77</v>
      </c>
      <c r="K156" s="56"/>
      <c r="O156" s="30">
        <f>I148+I149+I151+I152+I153+I154</f>
        <v>1486.56</v>
      </c>
      <c r="P156" s="30">
        <f>K148+K149+K151+K152+K153+K154</f>
        <v>26915.77</v>
      </c>
      <c r="X156">
        <f>IF(Source!BI39&lt;=1,I148+I149+I151+I152+I153+I154-0, 0)</f>
        <v>0</v>
      </c>
      <c r="Y156">
        <f>IF(Source!BI39=2,I148+I149+I151+I152+I153+I154-0, 0)</f>
        <v>1486.56</v>
      </c>
      <c r="Z156">
        <f>IF(Source!BI39=3,I148+I149+I151+I152+I153+I154-0, 0)</f>
        <v>0</v>
      </c>
      <c r="AA156">
        <f>IF(Source!BI39=4,I148+I149+I151+I152+I153+I154,0)</f>
        <v>0</v>
      </c>
    </row>
    <row r="158" spans="1:27" ht="15" x14ac:dyDescent="0.25">
      <c r="A158" s="55" t="str">
        <f>CONCATENATE("Итого по разделу: ",IF(Source!G41&lt;&gt;"Новый раздел", Source!G41, ""))</f>
        <v>Итого по разделу: Электромонтажные работы.</v>
      </c>
      <c r="B158" s="55"/>
      <c r="C158" s="55"/>
      <c r="D158" s="55"/>
      <c r="E158" s="55"/>
      <c r="F158" s="55"/>
      <c r="G158" s="55"/>
      <c r="H158" s="53">
        <f>SUM(O35:O157)</f>
        <v>14818.67</v>
      </c>
      <c r="I158" s="54"/>
      <c r="J158" s="53">
        <f>SUM(P35:P157)</f>
        <v>191893.66</v>
      </c>
      <c r="K158" s="54"/>
    </row>
    <row r="159" spans="1:27" hidden="1" x14ac:dyDescent="0.2">
      <c r="A159" t="s">
        <v>288</v>
      </c>
      <c r="H159">
        <f>SUM(AC35:AC158)</f>
        <v>0</v>
      </c>
      <c r="J159">
        <f>SUM(AD35:AD158)</f>
        <v>0</v>
      </c>
    </row>
    <row r="160" spans="1:27" hidden="1" x14ac:dyDescent="0.2">
      <c r="A160" t="s">
        <v>289</v>
      </c>
      <c r="H160">
        <f>SUM(AE35:AE159)</f>
        <v>0</v>
      </c>
      <c r="J160">
        <f>SUM(AF35:AF159)</f>
        <v>0</v>
      </c>
    </row>
    <row r="162" spans="1:27" ht="16.5" x14ac:dyDescent="0.25">
      <c r="A162" s="57" t="str">
        <f>CONCATENATE("Раздел: ",IF(Source!G71&lt;&gt;"Новый раздел", Source!G71, ""))</f>
        <v>Раздел: Пусконаладочные работы.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27" ht="28.5" x14ac:dyDescent="0.2">
      <c r="A163" s="23" t="str">
        <f>Source!E75</f>
        <v>13</v>
      </c>
      <c r="B163" s="24" t="str">
        <f>Source!F75</f>
        <v>5.1-23-1</v>
      </c>
      <c r="C163" s="24" t="s">
        <v>144</v>
      </c>
      <c r="D163" s="25" t="str">
        <f>Source!H75</f>
        <v>шт.</v>
      </c>
      <c r="E163" s="10">
        <f>Source!I75</f>
        <v>3</v>
      </c>
      <c r="F163" s="27"/>
      <c r="G163" s="26"/>
      <c r="H163" s="10"/>
      <c r="I163" s="28"/>
      <c r="J163" s="10"/>
      <c r="K163" s="28"/>
      <c r="Q163">
        <f>ROUND((Source!DN75/100)*ROUND((ROUND((Source!AF75*Source!AV75*Source!I75),2)),2), 2)</f>
        <v>202.67</v>
      </c>
      <c r="R163">
        <f>Source!X75</f>
        <v>3748.49</v>
      </c>
      <c r="S163">
        <f>ROUND((Source!DO75/100)*ROUND((ROUND((Source!AF75*Source!AV75*Source!I75),2)),2), 2)</f>
        <v>189.15</v>
      </c>
      <c r="T163">
        <f>Source!Y75</f>
        <v>2260.12</v>
      </c>
      <c r="U163">
        <f>ROUND((175/100)*ROUND((ROUND((Source!AE75*Source!AV75*Source!I75),2)),2), 2)</f>
        <v>0</v>
      </c>
      <c r="V163">
        <f>ROUND((157/100)*ROUND(ROUND((ROUND((Source!AE75*Source!AV75*Source!I75),2)*Source!BS75),2), 2), 2)</f>
        <v>0</v>
      </c>
    </row>
    <row r="164" spans="1:27" ht="28.5" x14ac:dyDescent="0.2">
      <c r="A164" s="23"/>
      <c r="B164" s="24"/>
      <c r="C164" s="24" t="s">
        <v>278</v>
      </c>
      <c r="D164" s="25"/>
      <c r="E164" s="10"/>
      <c r="F164" s="27">
        <f>Source!AO75</f>
        <v>86.61</v>
      </c>
      <c r="G164" s="26" t="str">
        <f>Source!DG75</f>
        <v>)*1,3)*0,8</v>
      </c>
      <c r="H164" s="10">
        <f>Source!AV75</f>
        <v>1</v>
      </c>
      <c r="I164" s="28">
        <f>ROUND((ROUND((Source!AF75*Source!AV75*Source!I75),2)),2)</f>
        <v>270.22000000000003</v>
      </c>
      <c r="J164" s="10">
        <f>IF(Source!BA75&lt;&gt; 0, Source!BA75, 1)</f>
        <v>20.399999999999999</v>
      </c>
      <c r="K164" s="28">
        <f>Source!S75</f>
        <v>5512.49</v>
      </c>
      <c r="W164">
        <f>I164</f>
        <v>270.22000000000003</v>
      </c>
    </row>
    <row r="165" spans="1:27" ht="14.25" x14ac:dyDescent="0.2">
      <c r="A165" s="23"/>
      <c r="B165" s="24"/>
      <c r="C165" s="24" t="s">
        <v>282</v>
      </c>
      <c r="D165" s="25" t="s">
        <v>283</v>
      </c>
      <c r="E165" s="10">
        <f>Source!DN75</f>
        <v>75</v>
      </c>
      <c r="F165" s="27"/>
      <c r="G165" s="26"/>
      <c r="H165" s="10"/>
      <c r="I165" s="28">
        <f>SUM(Q163:Q164)</f>
        <v>202.67</v>
      </c>
      <c r="J165" s="10">
        <f>Source!BZ75</f>
        <v>68</v>
      </c>
      <c r="K165" s="28">
        <f>SUM(R163:R164)</f>
        <v>3748.49</v>
      </c>
    </row>
    <row r="166" spans="1:27" ht="14.25" x14ac:dyDescent="0.2">
      <c r="A166" s="23"/>
      <c r="B166" s="24"/>
      <c r="C166" s="24" t="s">
        <v>284</v>
      </c>
      <c r="D166" s="25" t="s">
        <v>283</v>
      </c>
      <c r="E166" s="10">
        <f>Source!DO75</f>
        <v>70</v>
      </c>
      <c r="F166" s="27"/>
      <c r="G166" s="26"/>
      <c r="H166" s="10"/>
      <c r="I166" s="28">
        <f>SUM(S163:S165)</f>
        <v>189.15</v>
      </c>
      <c r="J166" s="10">
        <f>Source!CA75</f>
        <v>41</v>
      </c>
      <c r="K166" s="28">
        <f>SUM(T163:T165)</f>
        <v>2260.12</v>
      </c>
    </row>
    <row r="167" spans="1:27" ht="28.5" x14ac:dyDescent="0.2">
      <c r="A167" s="23"/>
      <c r="B167" s="24"/>
      <c r="C167" s="24" t="s">
        <v>286</v>
      </c>
      <c r="D167" s="25" t="s">
        <v>287</v>
      </c>
      <c r="E167" s="10">
        <f>Source!AQ75</f>
        <v>5.4</v>
      </c>
      <c r="F167" s="27"/>
      <c r="G167" s="26" t="str">
        <f>Source!DI75</f>
        <v>)*1,3)*0,8</v>
      </c>
      <c r="H167" s="10">
        <f>Source!AV75</f>
        <v>1</v>
      </c>
      <c r="I167" s="28">
        <f>Source!U75</f>
        <v>16.848000000000003</v>
      </c>
      <c r="J167" s="10"/>
      <c r="K167" s="28"/>
    </row>
    <row r="168" spans="1:27" ht="15" x14ac:dyDescent="0.25">
      <c r="A168" s="31"/>
      <c r="B168" s="31"/>
      <c r="C168" s="31"/>
      <c r="D168" s="31"/>
      <c r="E168" s="31"/>
      <c r="F168" s="31"/>
      <c r="G168" s="31"/>
      <c r="H168" s="56">
        <f>I164+I165+I166</f>
        <v>662.04</v>
      </c>
      <c r="I168" s="56"/>
      <c r="J168" s="56">
        <f>K164+K165+K166</f>
        <v>11521.099999999999</v>
      </c>
      <c r="K168" s="56"/>
      <c r="O168" s="30">
        <f>I164+I165+I166</f>
        <v>662.04</v>
      </c>
      <c r="P168" s="30">
        <f>K164+K165+K166</f>
        <v>11521.099999999999</v>
      </c>
      <c r="X168">
        <f>IF(Source!BI75&lt;=1,I164+I165+I166-0, 0)</f>
        <v>0</v>
      </c>
      <c r="Y168">
        <f>IF(Source!BI75=2,I164+I165+I166-0, 0)</f>
        <v>0</v>
      </c>
      <c r="Z168">
        <f>IF(Source!BI75=3,I164+I165+I166-0, 0)</f>
        <v>0</v>
      </c>
      <c r="AA168">
        <f>IF(Source!BI75=4,I164+I165+I166,0)</f>
        <v>662.04</v>
      </c>
    </row>
    <row r="169" spans="1:27" ht="71.25" x14ac:dyDescent="0.2">
      <c r="A169" s="23" t="str">
        <f>Source!E76</f>
        <v>14</v>
      </c>
      <c r="B169" s="24" t="str">
        <f>Source!F76</f>
        <v>5.1-20-7</v>
      </c>
      <c r="C169" s="24" t="s">
        <v>153</v>
      </c>
      <c r="D169" s="25" t="str">
        <f>Source!H76</f>
        <v>шт.</v>
      </c>
      <c r="E169" s="10">
        <f>Source!I76</f>
        <v>2</v>
      </c>
      <c r="F169" s="27"/>
      <c r="G169" s="26"/>
      <c r="H169" s="10"/>
      <c r="I169" s="28"/>
      <c r="J169" s="10"/>
      <c r="K169" s="28"/>
      <c r="Q169">
        <f>ROUND((Source!DN76/100)*ROUND((ROUND((Source!AF76*Source!AV76*Source!I76),2)),2), 2)</f>
        <v>86.36</v>
      </c>
      <c r="R169">
        <f>Source!X76</f>
        <v>1597.36</v>
      </c>
      <c r="S169">
        <f>ROUND((Source!DO76/100)*ROUND((ROUND((Source!AF76*Source!AV76*Source!I76),2)),2), 2)</f>
        <v>80.61</v>
      </c>
      <c r="T169">
        <f>Source!Y76</f>
        <v>963.11</v>
      </c>
      <c r="U169">
        <f>ROUND((175/100)*ROUND((ROUND((Source!AE76*Source!AV76*Source!I76),2)),2), 2)</f>
        <v>0</v>
      </c>
      <c r="V169">
        <f>ROUND((157/100)*ROUND(ROUND((ROUND((Source!AE76*Source!AV76*Source!I76),2)*Source!BS76),2), 2), 2)</f>
        <v>0</v>
      </c>
    </row>
    <row r="170" spans="1:27" ht="28.5" x14ac:dyDescent="0.2">
      <c r="A170" s="23"/>
      <c r="B170" s="24"/>
      <c r="C170" s="24" t="s">
        <v>278</v>
      </c>
      <c r="D170" s="25"/>
      <c r="E170" s="10"/>
      <c r="F170" s="27">
        <f>Source!AO76</f>
        <v>55.36</v>
      </c>
      <c r="G170" s="26" t="str">
        <f>Source!DG76</f>
        <v>)*1,3)*0,8</v>
      </c>
      <c r="H170" s="10">
        <f>Source!AV76</f>
        <v>1</v>
      </c>
      <c r="I170" s="28">
        <f>ROUND((ROUND((Source!AF76*Source!AV76*Source!I76),2)),2)</f>
        <v>115.15</v>
      </c>
      <c r="J170" s="10">
        <f>IF(Source!BA76&lt;&gt; 0, Source!BA76, 1)</f>
        <v>20.399999999999999</v>
      </c>
      <c r="K170" s="28">
        <f>Source!S76</f>
        <v>2349.06</v>
      </c>
      <c r="W170">
        <f>I170</f>
        <v>115.15</v>
      </c>
    </row>
    <row r="171" spans="1:27" ht="14.25" x14ac:dyDescent="0.2">
      <c r="A171" s="23"/>
      <c r="B171" s="24"/>
      <c r="C171" s="24" t="s">
        <v>282</v>
      </c>
      <c r="D171" s="25" t="s">
        <v>283</v>
      </c>
      <c r="E171" s="10">
        <f>Source!DN76</f>
        <v>75</v>
      </c>
      <c r="F171" s="27"/>
      <c r="G171" s="26"/>
      <c r="H171" s="10"/>
      <c r="I171" s="28">
        <f>SUM(Q169:Q170)</f>
        <v>86.36</v>
      </c>
      <c r="J171" s="10">
        <f>Source!BZ76</f>
        <v>68</v>
      </c>
      <c r="K171" s="28">
        <f>SUM(R169:R170)</f>
        <v>1597.36</v>
      </c>
    </row>
    <row r="172" spans="1:27" ht="14.25" x14ac:dyDescent="0.2">
      <c r="A172" s="23"/>
      <c r="B172" s="24"/>
      <c r="C172" s="24" t="s">
        <v>284</v>
      </c>
      <c r="D172" s="25" t="s">
        <v>283</v>
      </c>
      <c r="E172" s="10">
        <f>Source!DO76</f>
        <v>70</v>
      </c>
      <c r="F172" s="27"/>
      <c r="G172" s="26"/>
      <c r="H172" s="10"/>
      <c r="I172" s="28">
        <f>SUM(S169:S171)</f>
        <v>80.61</v>
      </c>
      <c r="J172" s="10">
        <f>Source!CA76</f>
        <v>41</v>
      </c>
      <c r="K172" s="28">
        <f>SUM(T169:T171)</f>
        <v>963.11</v>
      </c>
    </row>
    <row r="173" spans="1:27" ht="28.5" x14ac:dyDescent="0.2">
      <c r="A173" s="23"/>
      <c r="B173" s="24"/>
      <c r="C173" s="24" t="s">
        <v>286</v>
      </c>
      <c r="D173" s="25" t="s">
        <v>287</v>
      </c>
      <c r="E173" s="10">
        <f>Source!AQ76</f>
        <v>4.5</v>
      </c>
      <c r="F173" s="27"/>
      <c r="G173" s="26" t="str">
        <f>Source!DI76</f>
        <v>)*1,3)*0,8</v>
      </c>
      <c r="H173" s="10">
        <f>Source!AV76</f>
        <v>1</v>
      </c>
      <c r="I173" s="28">
        <f>Source!U76</f>
        <v>9.3600000000000012</v>
      </c>
      <c r="J173" s="10"/>
      <c r="K173" s="28"/>
    </row>
    <row r="174" spans="1:27" ht="15" x14ac:dyDescent="0.25">
      <c r="A174" s="31"/>
      <c r="B174" s="31"/>
      <c r="C174" s="31"/>
      <c r="D174" s="31"/>
      <c r="E174" s="31"/>
      <c r="F174" s="31"/>
      <c r="G174" s="31"/>
      <c r="H174" s="56">
        <f>I170+I171+I172</f>
        <v>282.12</v>
      </c>
      <c r="I174" s="56"/>
      <c r="J174" s="56">
        <f>K170+K171+K172</f>
        <v>4909.53</v>
      </c>
      <c r="K174" s="56"/>
      <c r="O174" s="30">
        <f>I170+I171+I172</f>
        <v>282.12</v>
      </c>
      <c r="P174" s="30">
        <f>K170+K171+K172</f>
        <v>4909.53</v>
      </c>
      <c r="X174">
        <f>IF(Source!BI76&lt;=1,I170+I171+I172-0, 0)</f>
        <v>0</v>
      </c>
      <c r="Y174">
        <f>IF(Source!BI76=2,I170+I171+I172-0, 0)</f>
        <v>0</v>
      </c>
      <c r="Z174">
        <f>IF(Source!BI76=3,I170+I171+I172-0, 0)</f>
        <v>0</v>
      </c>
      <c r="AA174">
        <f>IF(Source!BI76=4,I170+I171+I172,0)</f>
        <v>282.12</v>
      </c>
    </row>
    <row r="175" spans="1:27" ht="28.5" x14ac:dyDescent="0.2">
      <c r="A175" s="23" t="str">
        <f>Source!E77</f>
        <v>15</v>
      </c>
      <c r="B175" s="24" t="str">
        <f>Source!F77</f>
        <v>5.1-168-1</v>
      </c>
      <c r="C175" s="24" t="s">
        <v>157</v>
      </c>
      <c r="D175" s="25" t="str">
        <f>Source!H77</f>
        <v>испытание</v>
      </c>
      <c r="E175" s="10">
        <f>Source!I77</f>
        <v>4</v>
      </c>
      <c r="F175" s="27"/>
      <c r="G175" s="26"/>
      <c r="H175" s="10"/>
      <c r="I175" s="28"/>
      <c r="J175" s="10"/>
      <c r="K175" s="28"/>
      <c r="Q175">
        <f>ROUND((Source!DN77/100)*ROUND((ROUND((Source!AF77*Source!AV77*Source!I77),2)),2), 2)</f>
        <v>379.61</v>
      </c>
      <c r="R175">
        <f>Source!X77</f>
        <v>7021.31</v>
      </c>
      <c r="S175">
        <f>ROUND((Source!DO77/100)*ROUND((ROUND((Source!AF77*Source!AV77*Source!I77),2)),2), 2)</f>
        <v>354.31</v>
      </c>
      <c r="T175">
        <f>Source!Y77</f>
        <v>4233.4399999999996</v>
      </c>
      <c r="U175">
        <f>ROUND((175/100)*ROUND((ROUND((Source!AE77*Source!AV77*Source!I77),2)),2), 2)</f>
        <v>0</v>
      </c>
      <c r="V175">
        <f>ROUND((157/100)*ROUND(ROUND((ROUND((Source!AE77*Source!AV77*Source!I77),2)*Source!BS77),2), 2), 2)</f>
        <v>0</v>
      </c>
    </row>
    <row r="176" spans="1:27" ht="28.5" x14ac:dyDescent="0.2">
      <c r="A176" s="23"/>
      <c r="B176" s="24"/>
      <c r="C176" s="24" t="s">
        <v>278</v>
      </c>
      <c r="D176" s="25"/>
      <c r="E176" s="10"/>
      <c r="F176" s="27">
        <f>Source!AO77</f>
        <v>121.67</v>
      </c>
      <c r="G176" s="26" t="str">
        <f>Source!DG77</f>
        <v>)*1,3)*0,8</v>
      </c>
      <c r="H176" s="10">
        <f>Source!AV77</f>
        <v>1</v>
      </c>
      <c r="I176" s="28">
        <f>ROUND((ROUND((Source!AF77*Source!AV77*Source!I77),2)),2)</f>
        <v>506.15</v>
      </c>
      <c r="J176" s="10">
        <f>IF(Source!BA77&lt;&gt; 0, Source!BA77, 1)</f>
        <v>20.399999999999999</v>
      </c>
      <c r="K176" s="28">
        <f>Source!S77</f>
        <v>10325.459999999999</v>
      </c>
      <c r="W176">
        <f>I176</f>
        <v>506.15</v>
      </c>
    </row>
    <row r="177" spans="1:27" ht="14.25" x14ac:dyDescent="0.2">
      <c r="A177" s="23"/>
      <c r="B177" s="24"/>
      <c r="C177" s="24" t="s">
        <v>282</v>
      </c>
      <c r="D177" s="25" t="s">
        <v>283</v>
      </c>
      <c r="E177" s="10">
        <f>Source!DN77</f>
        <v>75</v>
      </c>
      <c r="F177" s="27"/>
      <c r="G177" s="26"/>
      <c r="H177" s="10"/>
      <c r="I177" s="28">
        <f>SUM(Q175:Q176)</f>
        <v>379.61</v>
      </c>
      <c r="J177" s="10">
        <f>Source!BZ77</f>
        <v>68</v>
      </c>
      <c r="K177" s="28">
        <f>SUM(R175:R176)</f>
        <v>7021.31</v>
      </c>
    </row>
    <row r="178" spans="1:27" ht="14.25" x14ac:dyDescent="0.2">
      <c r="A178" s="23"/>
      <c r="B178" s="24"/>
      <c r="C178" s="24" t="s">
        <v>284</v>
      </c>
      <c r="D178" s="25" t="s">
        <v>283</v>
      </c>
      <c r="E178" s="10">
        <f>Source!DO77</f>
        <v>70</v>
      </c>
      <c r="F178" s="27"/>
      <c r="G178" s="26"/>
      <c r="H178" s="10"/>
      <c r="I178" s="28">
        <f>SUM(S175:S177)</f>
        <v>354.31</v>
      </c>
      <c r="J178" s="10">
        <f>Source!CA77</f>
        <v>41</v>
      </c>
      <c r="K178" s="28">
        <f>SUM(T175:T177)</f>
        <v>4233.4399999999996</v>
      </c>
    </row>
    <row r="179" spans="1:27" ht="28.5" x14ac:dyDescent="0.2">
      <c r="A179" s="23"/>
      <c r="B179" s="24"/>
      <c r="C179" s="24" t="s">
        <v>286</v>
      </c>
      <c r="D179" s="25" t="s">
        <v>287</v>
      </c>
      <c r="E179" s="10">
        <f>Source!AQ77</f>
        <v>8.1</v>
      </c>
      <c r="F179" s="27"/>
      <c r="G179" s="26" t="str">
        <f>Source!DI77</f>
        <v>)*1,3)*0,8</v>
      </c>
      <c r="H179" s="10">
        <f>Source!AV77</f>
        <v>1</v>
      </c>
      <c r="I179" s="28">
        <f>Source!U77</f>
        <v>33.695999999999998</v>
      </c>
      <c r="J179" s="10"/>
      <c r="K179" s="28"/>
    </row>
    <row r="180" spans="1:27" ht="15" x14ac:dyDescent="0.25">
      <c r="A180" s="31"/>
      <c r="B180" s="31"/>
      <c r="C180" s="31"/>
      <c r="D180" s="31"/>
      <c r="E180" s="31"/>
      <c r="F180" s="31"/>
      <c r="G180" s="31"/>
      <c r="H180" s="56">
        <f>I176+I177+I178</f>
        <v>1240.07</v>
      </c>
      <c r="I180" s="56"/>
      <c r="J180" s="56">
        <f>K176+K177+K178</f>
        <v>21580.21</v>
      </c>
      <c r="K180" s="56"/>
      <c r="O180" s="30">
        <f>I176+I177+I178</f>
        <v>1240.07</v>
      </c>
      <c r="P180" s="30">
        <f>K176+K177+K178</f>
        <v>21580.21</v>
      </c>
      <c r="X180">
        <f>IF(Source!BI77&lt;=1,I176+I177+I178-0, 0)</f>
        <v>0</v>
      </c>
      <c r="Y180">
        <f>IF(Source!BI77=2,I176+I177+I178-0, 0)</f>
        <v>0</v>
      </c>
      <c r="Z180">
        <f>IF(Source!BI77=3,I176+I177+I178-0, 0)</f>
        <v>0</v>
      </c>
      <c r="AA180">
        <f>IF(Source!BI77=4,I176+I177+I178,0)</f>
        <v>1240.07</v>
      </c>
    </row>
    <row r="181" spans="1:27" ht="42.75" x14ac:dyDescent="0.2">
      <c r="A181" s="23" t="str">
        <f>Source!E78</f>
        <v>16</v>
      </c>
      <c r="B181" s="24" t="str">
        <f>Source!F78</f>
        <v>5.1-88-2</v>
      </c>
      <c r="C181" s="24" t="s">
        <v>162</v>
      </c>
      <c r="D181" s="25" t="str">
        <f>Source!H78</f>
        <v>шт.</v>
      </c>
      <c r="E181" s="10">
        <f>Source!I78</f>
        <v>1</v>
      </c>
      <c r="F181" s="27"/>
      <c r="G181" s="26"/>
      <c r="H181" s="10"/>
      <c r="I181" s="28"/>
      <c r="J181" s="10"/>
      <c r="K181" s="28"/>
      <c r="Q181">
        <f>ROUND((Source!DN78/100)*ROUND((ROUND((Source!AF78*Source!AV78*Source!I78),2)),2), 2)</f>
        <v>401.84</v>
      </c>
      <c r="R181">
        <f>Source!X78</f>
        <v>9042.85</v>
      </c>
      <c r="S181">
        <f>ROUND((Source!DO78/100)*ROUND((ROUND((Source!AF78*Source!AV78*Source!I78),2)),2), 2)</f>
        <v>375.05</v>
      </c>
      <c r="T181">
        <f>Source!Y78</f>
        <v>5452.31</v>
      </c>
      <c r="U181">
        <f>ROUND((175/100)*ROUND((ROUND((Source!AE78*Source!AV78*Source!I78),2)),2), 2)</f>
        <v>0</v>
      </c>
      <c r="V181">
        <f>ROUND((157/100)*ROUND(ROUND((ROUND((Source!AE78*Source!AV78*Source!I78),2)*Source!BS78),2), 2), 2)</f>
        <v>0</v>
      </c>
    </row>
    <row r="182" spans="1:27" ht="28.5" x14ac:dyDescent="0.2">
      <c r="A182" s="23"/>
      <c r="B182" s="24"/>
      <c r="C182" s="24" t="s">
        <v>278</v>
      </c>
      <c r="D182" s="25"/>
      <c r="E182" s="10"/>
      <c r="F182" s="27">
        <f>Source!AO78</f>
        <v>515.17999999999995</v>
      </c>
      <c r="G182" s="26" t="str">
        <f>Source!DG78</f>
        <v>)*1,3)*0,8</v>
      </c>
      <c r="H182" s="10">
        <f>Source!AV78</f>
        <v>1</v>
      </c>
      <c r="I182" s="28">
        <f>ROUND((ROUND((Source!AF78*Source!AV78*Source!I78),2)),2)</f>
        <v>535.79</v>
      </c>
      <c r="J182" s="10">
        <f>IF(Source!BA78&lt;&gt; 0, Source!BA78, 1)</f>
        <v>24.82</v>
      </c>
      <c r="K182" s="28">
        <f>Source!S78</f>
        <v>13298.31</v>
      </c>
      <c r="W182">
        <f>I182</f>
        <v>535.79</v>
      </c>
    </row>
    <row r="183" spans="1:27" ht="14.25" x14ac:dyDescent="0.2">
      <c r="A183" s="23"/>
      <c r="B183" s="24"/>
      <c r="C183" s="24" t="s">
        <v>282</v>
      </c>
      <c r="D183" s="25" t="s">
        <v>283</v>
      </c>
      <c r="E183" s="10">
        <f>Source!DN78</f>
        <v>75</v>
      </c>
      <c r="F183" s="27"/>
      <c r="G183" s="26"/>
      <c r="H183" s="10"/>
      <c r="I183" s="28">
        <f>SUM(Q181:Q182)</f>
        <v>401.84</v>
      </c>
      <c r="J183" s="10">
        <f>Source!BZ78</f>
        <v>68</v>
      </c>
      <c r="K183" s="28">
        <f>SUM(R181:R182)</f>
        <v>9042.85</v>
      </c>
    </row>
    <row r="184" spans="1:27" ht="14.25" x14ac:dyDescent="0.2">
      <c r="A184" s="23"/>
      <c r="B184" s="24"/>
      <c r="C184" s="24" t="s">
        <v>284</v>
      </c>
      <c r="D184" s="25" t="s">
        <v>283</v>
      </c>
      <c r="E184" s="10">
        <f>Source!DO78</f>
        <v>70</v>
      </c>
      <c r="F184" s="27"/>
      <c r="G184" s="26"/>
      <c r="H184" s="10"/>
      <c r="I184" s="28">
        <f>SUM(S181:S183)</f>
        <v>375.05</v>
      </c>
      <c r="J184" s="10">
        <f>Source!CA78</f>
        <v>41</v>
      </c>
      <c r="K184" s="28">
        <f>SUM(T181:T183)</f>
        <v>5452.31</v>
      </c>
    </row>
    <row r="185" spans="1:27" ht="28.5" x14ac:dyDescent="0.2">
      <c r="A185" s="23"/>
      <c r="B185" s="24"/>
      <c r="C185" s="24" t="s">
        <v>286</v>
      </c>
      <c r="D185" s="25" t="s">
        <v>287</v>
      </c>
      <c r="E185" s="10">
        <f>Source!AQ78</f>
        <v>31</v>
      </c>
      <c r="F185" s="27"/>
      <c r="G185" s="26" t="str">
        <f>Source!DI78</f>
        <v>)*1,3)*0,8</v>
      </c>
      <c r="H185" s="10">
        <f>Source!AV78</f>
        <v>1</v>
      </c>
      <c r="I185" s="28">
        <f>Source!U78</f>
        <v>32.24</v>
      </c>
      <c r="J185" s="10"/>
      <c r="K185" s="28"/>
    </row>
    <row r="186" spans="1:27" ht="15" x14ac:dyDescent="0.25">
      <c r="A186" s="31"/>
      <c r="B186" s="31"/>
      <c r="C186" s="31"/>
      <c r="D186" s="31"/>
      <c r="E186" s="31"/>
      <c r="F186" s="31"/>
      <c r="G186" s="31"/>
      <c r="H186" s="56">
        <f>I182+I183+I184</f>
        <v>1312.6799999999998</v>
      </c>
      <c r="I186" s="56"/>
      <c r="J186" s="56">
        <f>K182+K183+K184</f>
        <v>27793.47</v>
      </c>
      <c r="K186" s="56"/>
      <c r="O186" s="30">
        <f>I182+I183+I184</f>
        <v>1312.6799999999998</v>
      </c>
      <c r="P186" s="30">
        <f>K182+K183+K184</f>
        <v>27793.47</v>
      </c>
      <c r="X186">
        <f>IF(Source!BI78&lt;=1,I182+I183+I184-0, 0)</f>
        <v>0</v>
      </c>
      <c r="Y186">
        <f>IF(Source!BI78=2,I182+I183+I184-0, 0)</f>
        <v>0</v>
      </c>
      <c r="Z186">
        <f>IF(Source!BI78=3,I182+I183+I184-0, 0)</f>
        <v>0</v>
      </c>
      <c r="AA186">
        <f>IF(Source!BI78=4,I182+I183+I184,0)</f>
        <v>1312.6799999999998</v>
      </c>
    </row>
    <row r="187" spans="1:27" ht="71.25" x14ac:dyDescent="0.2">
      <c r="A187" s="23" t="str">
        <f>Source!E79</f>
        <v>17</v>
      </c>
      <c r="B187" s="24" t="str">
        <f>Source!F79</f>
        <v>5.1-141-2</v>
      </c>
      <c r="C187" s="24" t="s">
        <v>166</v>
      </c>
      <c r="D187" s="25" t="str">
        <f>Source!H79</f>
        <v>шт.</v>
      </c>
      <c r="E187" s="10">
        <f>Source!I79</f>
        <v>2</v>
      </c>
      <c r="F187" s="27"/>
      <c r="G187" s="26"/>
      <c r="H187" s="10"/>
      <c r="I187" s="28"/>
      <c r="J187" s="10"/>
      <c r="K187" s="28"/>
      <c r="Q187">
        <f>ROUND((Source!DN79/100)*ROUND((ROUND((Source!AF79*Source!AV79*Source!I79),2)),2), 2)</f>
        <v>172.17</v>
      </c>
      <c r="R187">
        <f>Source!X79</f>
        <v>3829.15</v>
      </c>
      <c r="S187">
        <f>ROUND((Source!DO79/100)*ROUND((ROUND((Source!AF79*Source!AV79*Source!I79),2)),2), 2)</f>
        <v>160.69</v>
      </c>
      <c r="T187">
        <f>Source!Y79</f>
        <v>2308.7600000000002</v>
      </c>
      <c r="U187">
        <f>ROUND((175/100)*ROUND((ROUND((Source!AE79*Source!AV79*Source!I79),2)),2), 2)</f>
        <v>0</v>
      </c>
      <c r="V187">
        <f>ROUND((157/100)*ROUND(ROUND((ROUND((Source!AE79*Source!AV79*Source!I79),2)*Source!BS79),2), 2), 2)</f>
        <v>0</v>
      </c>
    </row>
    <row r="188" spans="1:27" ht="28.5" x14ac:dyDescent="0.2">
      <c r="A188" s="23"/>
      <c r="B188" s="24"/>
      <c r="C188" s="24" t="s">
        <v>278</v>
      </c>
      <c r="D188" s="25"/>
      <c r="E188" s="10"/>
      <c r="F188" s="27">
        <f>Source!AO79</f>
        <v>119.56</v>
      </c>
      <c r="G188" s="26" t="str">
        <f>Source!DG79</f>
        <v>)*1,2)*0,8</v>
      </c>
      <c r="H188" s="10">
        <f>Source!AV79</f>
        <v>1</v>
      </c>
      <c r="I188" s="28">
        <f>ROUND((ROUND((Source!AF79*Source!AV79*Source!I79),2)),2)</f>
        <v>229.56</v>
      </c>
      <c r="J188" s="10">
        <f>IF(Source!BA79&lt;&gt; 0, Source!BA79, 1)</f>
        <v>24.53</v>
      </c>
      <c r="K188" s="28">
        <f>Source!S79</f>
        <v>5631.11</v>
      </c>
      <c r="W188">
        <f>I188</f>
        <v>229.56</v>
      </c>
    </row>
    <row r="189" spans="1:27" ht="14.25" x14ac:dyDescent="0.2">
      <c r="A189" s="23"/>
      <c r="B189" s="24"/>
      <c r="C189" s="24" t="s">
        <v>282</v>
      </c>
      <c r="D189" s="25" t="s">
        <v>283</v>
      </c>
      <c r="E189" s="10">
        <f>Source!DN79</f>
        <v>75</v>
      </c>
      <c r="F189" s="27"/>
      <c r="G189" s="26"/>
      <c r="H189" s="10"/>
      <c r="I189" s="28">
        <f>SUM(Q187:Q188)</f>
        <v>172.17</v>
      </c>
      <c r="J189" s="10">
        <f>Source!BZ79</f>
        <v>68</v>
      </c>
      <c r="K189" s="28">
        <f>SUM(R187:R188)</f>
        <v>3829.15</v>
      </c>
    </row>
    <row r="190" spans="1:27" ht="14.25" x14ac:dyDescent="0.2">
      <c r="A190" s="23"/>
      <c r="B190" s="24"/>
      <c r="C190" s="24" t="s">
        <v>284</v>
      </c>
      <c r="D190" s="25" t="s">
        <v>283</v>
      </c>
      <c r="E190" s="10">
        <f>Source!DO79</f>
        <v>70</v>
      </c>
      <c r="F190" s="27"/>
      <c r="G190" s="26"/>
      <c r="H190" s="10"/>
      <c r="I190" s="28">
        <f>SUM(S187:S189)</f>
        <v>160.69</v>
      </c>
      <c r="J190" s="10">
        <f>Source!CA79</f>
        <v>41</v>
      </c>
      <c r="K190" s="28">
        <f>SUM(T187:T189)</f>
        <v>2308.7600000000002</v>
      </c>
    </row>
    <row r="191" spans="1:27" ht="28.5" x14ac:dyDescent="0.2">
      <c r="A191" s="23"/>
      <c r="B191" s="24"/>
      <c r="C191" s="24" t="s">
        <v>286</v>
      </c>
      <c r="D191" s="25" t="s">
        <v>287</v>
      </c>
      <c r="E191" s="10">
        <f>Source!AQ79</f>
        <v>7.2</v>
      </c>
      <c r="F191" s="27"/>
      <c r="G191" s="26" t="str">
        <f>Source!DI79</f>
        <v>)*1,2)*0,8</v>
      </c>
      <c r="H191" s="10">
        <f>Source!AV79</f>
        <v>1</v>
      </c>
      <c r="I191" s="28">
        <f>Source!U79</f>
        <v>13.824000000000002</v>
      </c>
      <c r="J191" s="10"/>
      <c r="K191" s="28"/>
    </row>
    <row r="192" spans="1:27" ht="15" x14ac:dyDescent="0.25">
      <c r="A192" s="31"/>
      <c r="B192" s="31"/>
      <c r="C192" s="31"/>
      <c r="D192" s="31"/>
      <c r="E192" s="31"/>
      <c r="F192" s="31"/>
      <c r="G192" s="31"/>
      <c r="H192" s="56">
        <f>I188+I189+I190</f>
        <v>562.42000000000007</v>
      </c>
      <c r="I192" s="56"/>
      <c r="J192" s="56">
        <f>K188+K189+K190</f>
        <v>11769.02</v>
      </c>
      <c r="K192" s="56"/>
      <c r="O192" s="30">
        <f>I188+I189+I190</f>
        <v>562.42000000000007</v>
      </c>
      <c r="P192" s="30">
        <f>K188+K189+K190</f>
        <v>11769.02</v>
      </c>
      <c r="X192">
        <f>IF(Source!BI79&lt;=1,I188+I189+I190-0, 0)</f>
        <v>0</v>
      </c>
      <c r="Y192">
        <f>IF(Source!BI79=2,I188+I189+I190-0, 0)</f>
        <v>0</v>
      </c>
      <c r="Z192">
        <f>IF(Source!BI79=3,I188+I189+I190-0, 0)</f>
        <v>0</v>
      </c>
      <c r="AA192">
        <f>IF(Source!BI79=4,I188+I189+I190,0)</f>
        <v>562.42000000000007</v>
      </c>
    </row>
    <row r="193" spans="1:27" ht="42.75" x14ac:dyDescent="0.2">
      <c r="A193" s="23" t="str">
        <f>Source!E80</f>
        <v>18</v>
      </c>
      <c r="B193" s="24" t="str">
        <f>Source!F80</f>
        <v>5.1-152-1</v>
      </c>
      <c r="C193" s="24" t="s">
        <v>172</v>
      </c>
      <c r="D193" s="25" t="str">
        <f>Source!H80</f>
        <v>точка</v>
      </c>
      <c r="E193" s="10">
        <f>Source!I80</f>
        <v>32</v>
      </c>
      <c r="F193" s="27"/>
      <c r="G193" s="26"/>
      <c r="H193" s="10"/>
      <c r="I193" s="28"/>
      <c r="J193" s="10"/>
      <c r="K193" s="28"/>
      <c r="Q193">
        <f>ROUND((Source!DN80/100)*ROUND((ROUND((Source!AF80*Source!AV80*Source!I80),2)),2), 2)</f>
        <v>59.15</v>
      </c>
      <c r="R193">
        <f>Source!X80</f>
        <v>1331.13</v>
      </c>
      <c r="S193">
        <f>ROUND((Source!DO80/100)*ROUND((ROUND((Source!AF80*Source!AV80*Source!I80),2)),2), 2)</f>
        <v>55.21</v>
      </c>
      <c r="T193">
        <f>Source!Y80</f>
        <v>802.6</v>
      </c>
      <c r="U193">
        <f>ROUND((175/100)*ROUND((ROUND((Source!AE80*Source!AV80*Source!I80),2)),2), 2)</f>
        <v>0</v>
      </c>
      <c r="V193">
        <f>ROUND((157/100)*ROUND(ROUND((ROUND((Source!AE80*Source!AV80*Source!I80),2)*Source!BS80),2), 2), 2)</f>
        <v>0</v>
      </c>
    </row>
    <row r="194" spans="1:27" ht="28.5" x14ac:dyDescent="0.2">
      <c r="A194" s="23"/>
      <c r="B194" s="24"/>
      <c r="C194" s="24" t="s">
        <v>278</v>
      </c>
      <c r="D194" s="25"/>
      <c r="E194" s="10"/>
      <c r="F194" s="27">
        <f>Source!AO80</f>
        <v>2.37</v>
      </c>
      <c r="G194" s="26" t="str">
        <f>Source!DG80</f>
        <v>)*1,3)*0,8</v>
      </c>
      <c r="H194" s="10">
        <f>Source!AV80</f>
        <v>1</v>
      </c>
      <c r="I194" s="28">
        <f>ROUND((ROUND((Source!AF80*Source!AV80*Source!I80),2)),2)</f>
        <v>78.87</v>
      </c>
      <c r="J194" s="10">
        <f>IF(Source!BA80&lt;&gt; 0, Source!BA80, 1)</f>
        <v>24.82</v>
      </c>
      <c r="K194" s="28">
        <f>Source!S80</f>
        <v>1957.55</v>
      </c>
      <c r="W194">
        <f>I194</f>
        <v>78.87</v>
      </c>
    </row>
    <row r="195" spans="1:27" ht="14.25" x14ac:dyDescent="0.2">
      <c r="A195" s="23"/>
      <c r="B195" s="24"/>
      <c r="C195" s="24" t="s">
        <v>282</v>
      </c>
      <c r="D195" s="25" t="s">
        <v>283</v>
      </c>
      <c r="E195" s="10">
        <f>Source!DN80</f>
        <v>75</v>
      </c>
      <c r="F195" s="27"/>
      <c r="G195" s="26"/>
      <c r="H195" s="10"/>
      <c r="I195" s="28">
        <f>SUM(Q193:Q194)</f>
        <v>59.15</v>
      </c>
      <c r="J195" s="10">
        <f>Source!BZ80</f>
        <v>68</v>
      </c>
      <c r="K195" s="28">
        <f>SUM(R193:R194)</f>
        <v>1331.13</v>
      </c>
    </row>
    <row r="196" spans="1:27" ht="14.25" x14ac:dyDescent="0.2">
      <c r="A196" s="23"/>
      <c r="B196" s="24"/>
      <c r="C196" s="24" t="s">
        <v>284</v>
      </c>
      <c r="D196" s="25" t="s">
        <v>283</v>
      </c>
      <c r="E196" s="10">
        <f>Source!DO80</f>
        <v>70</v>
      </c>
      <c r="F196" s="27"/>
      <c r="G196" s="26"/>
      <c r="H196" s="10"/>
      <c r="I196" s="28">
        <f>SUM(S193:S195)</f>
        <v>55.21</v>
      </c>
      <c r="J196" s="10">
        <f>Source!CA80</f>
        <v>41</v>
      </c>
      <c r="K196" s="28">
        <f>SUM(T193:T195)</f>
        <v>802.6</v>
      </c>
    </row>
    <row r="197" spans="1:27" ht="28.5" x14ac:dyDescent="0.2">
      <c r="A197" s="23"/>
      <c r="B197" s="24"/>
      <c r="C197" s="24" t="s">
        <v>286</v>
      </c>
      <c r="D197" s="25" t="s">
        <v>287</v>
      </c>
      <c r="E197" s="10">
        <f>Source!AQ80</f>
        <v>0.15</v>
      </c>
      <c r="F197" s="27"/>
      <c r="G197" s="26" t="str">
        <f>Source!DI80</f>
        <v>)*1,3)*0,8</v>
      </c>
      <c r="H197" s="10">
        <f>Source!AV80</f>
        <v>1</v>
      </c>
      <c r="I197" s="28">
        <f>Source!U80</f>
        <v>4.9920000000000009</v>
      </c>
      <c r="J197" s="10"/>
      <c r="K197" s="28"/>
    </row>
    <row r="198" spans="1:27" ht="15" x14ac:dyDescent="0.25">
      <c r="A198" s="31"/>
      <c r="B198" s="31"/>
      <c r="C198" s="31"/>
      <c r="D198" s="31"/>
      <c r="E198" s="31"/>
      <c r="F198" s="31"/>
      <c r="G198" s="31"/>
      <c r="H198" s="56">
        <f>I194+I195+I196</f>
        <v>193.23000000000002</v>
      </c>
      <c r="I198" s="56"/>
      <c r="J198" s="56">
        <f>K194+K195+K196</f>
        <v>4091.28</v>
      </c>
      <c r="K198" s="56"/>
      <c r="O198" s="30">
        <f>I194+I195+I196</f>
        <v>193.23000000000002</v>
      </c>
      <c r="P198" s="30">
        <f>K194+K195+K196</f>
        <v>4091.28</v>
      </c>
      <c r="X198">
        <f>IF(Source!BI80&lt;=1,I194+I195+I196-0, 0)</f>
        <v>0</v>
      </c>
      <c r="Y198">
        <f>IF(Source!BI80=2,I194+I195+I196-0, 0)</f>
        <v>0</v>
      </c>
      <c r="Z198">
        <f>IF(Source!BI80=3,I194+I195+I196-0, 0)</f>
        <v>0</v>
      </c>
      <c r="AA198">
        <f>IF(Source!BI80=4,I194+I195+I196,0)</f>
        <v>193.23000000000002</v>
      </c>
    </row>
    <row r="199" spans="1:27" ht="28.5" x14ac:dyDescent="0.2">
      <c r="A199" s="23" t="str">
        <f>Source!E81</f>
        <v>19</v>
      </c>
      <c r="B199" s="24" t="str">
        <f>Source!F81</f>
        <v>5.1-154-1</v>
      </c>
      <c r="C199" s="24" t="s">
        <v>177</v>
      </c>
      <c r="D199" s="25" t="str">
        <f>Source!H81</f>
        <v>токоприемник</v>
      </c>
      <c r="E199" s="10">
        <f>Source!I81</f>
        <v>8</v>
      </c>
      <c r="F199" s="27"/>
      <c r="G199" s="26"/>
      <c r="H199" s="10"/>
      <c r="I199" s="28"/>
      <c r="J199" s="10"/>
      <c r="K199" s="28"/>
      <c r="Q199">
        <f>ROUND((Source!DN81/100)*ROUND((ROUND((Source!AF81*Source!AV81*Source!I81),2)),2), 2)</f>
        <v>98.78</v>
      </c>
      <c r="R199">
        <f>Source!X81</f>
        <v>2222.9499999999998</v>
      </c>
      <c r="S199">
        <f>ROUND((Source!DO81/100)*ROUND((ROUND((Source!AF81*Source!AV81*Source!I81),2)),2), 2)</f>
        <v>92.2</v>
      </c>
      <c r="T199">
        <f>Source!Y81</f>
        <v>1340.31</v>
      </c>
      <c r="U199">
        <f>ROUND((175/100)*ROUND((ROUND((Source!AE81*Source!AV81*Source!I81),2)),2), 2)</f>
        <v>0</v>
      </c>
      <c r="V199">
        <f>ROUND((157/100)*ROUND(ROUND((ROUND((Source!AE81*Source!AV81*Source!I81),2)*Source!BS81),2), 2), 2)</f>
        <v>0</v>
      </c>
    </row>
    <row r="200" spans="1:27" ht="28.5" x14ac:dyDescent="0.2">
      <c r="A200" s="23"/>
      <c r="B200" s="24"/>
      <c r="C200" s="24" t="s">
        <v>278</v>
      </c>
      <c r="D200" s="25"/>
      <c r="E200" s="10"/>
      <c r="F200" s="27">
        <f>Source!AO81</f>
        <v>15.83</v>
      </c>
      <c r="G200" s="26" t="str">
        <f>Source!DG81</f>
        <v>)*1,3)*0,8</v>
      </c>
      <c r="H200" s="10">
        <f>Source!AV81</f>
        <v>1</v>
      </c>
      <c r="I200" s="28">
        <f>ROUND((ROUND((Source!AF81*Source!AV81*Source!I81),2)),2)</f>
        <v>131.71</v>
      </c>
      <c r="J200" s="10">
        <f>IF(Source!BA81&lt;&gt; 0, Source!BA81, 1)</f>
        <v>24.82</v>
      </c>
      <c r="K200" s="28">
        <f>Source!S81</f>
        <v>3269.04</v>
      </c>
      <c r="W200">
        <f>I200</f>
        <v>131.71</v>
      </c>
    </row>
    <row r="201" spans="1:27" ht="14.25" x14ac:dyDescent="0.2">
      <c r="A201" s="23"/>
      <c r="B201" s="24"/>
      <c r="C201" s="24" t="s">
        <v>282</v>
      </c>
      <c r="D201" s="25" t="s">
        <v>283</v>
      </c>
      <c r="E201" s="10">
        <f>Source!DN81</f>
        <v>75</v>
      </c>
      <c r="F201" s="27"/>
      <c r="G201" s="26"/>
      <c r="H201" s="10"/>
      <c r="I201" s="28">
        <f>SUM(Q199:Q200)</f>
        <v>98.78</v>
      </c>
      <c r="J201" s="10">
        <f>Source!BZ81</f>
        <v>68</v>
      </c>
      <c r="K201" s="28">
        <f>SUM(R199:R200)</f>
        <v>2222.9499999999998</v>
      </c>
    </row>
    <row r="202" spans="1:27" ht="14.25" x14ac:dyDescent="0.2">
      <c r="A202" s="23"/>
      <c r="B202" s="24"/>
      <c r="C202" s="24" t="s">
        <v>284</v>
      </c>
      <c r="D202" s="25" t="s">
        <v>283</v>
      </c>
      <c r="E202" s="10">
        <f>Source!DO81</f>
        <v>70</v>
      </c>
      <c r="F202" s="27"/>
      <c r="G202" s="26"/>
      <c r="H202" s="10"/>
      <c r="I202" s="28">
        <f>SUM(S199:S201)</f>
        <v>92.2</v>
      </c>
      <c r="J202" s="10">
        <f>Source!CA81</f>
        <v>41</v>
      </c>
      <c r="K202" s="28">
        <f>SUM(T199:T201)</f>
        <v>1340.31</v>
      </c>
    </row>
    <row r="203" spans="1:27" ht="28.5" x14ac:dyDescent="0.2">
      <c r="A203" s="23"/>
      <c r="B203" s="24"/>
      <c r="C203" s="24" t="s">
        <v>286</v>
      </c>
      <c r="D203" s="25" t="s">
        <v>287</v>
      </c>
      <c r="E203" s="10">
        <f>Source!AQ81</f>
        <v>1</v>
      </c>
      <c r="F203" s="27"/>
      <c r="G203" s="26" t="str">
        <f>Source!DI81</f>
        <v>)*1,3)*0,8</v>
      </c>
      <c r="H203" s="10">
        <f>Source!AV81</f>
        <v>1</v>
      </c>
      <c r="I203" s="28">
        <f>Source!U81</f>
        <v>8.32</v>
      </c>
      <c r="J203" s="10"/>
      <c r="K203" s="28"/>
    </row>
    <row r="204" spans="1:27" ht="15" x14ac:dyDescent="0.25">
      <c r="A204" s="31"/>
      <c r="B204" s="31"/>
      <c r="C204" s="31"/>
      <c r="D204" s="31"/>
      <c r="E204" s="31"/>
      <c r="F204" s="31"/>
      <c r="G204" s="31"/>
      <c r="H204" s="56">
        <f>I200+I201+I202</f>
        <v>322.69</v>
      </c>
      <c r="I204" s="56"/>
      <c r="J204" s="56">
        <f>K200+K201+K202</f>
        <v>6832.2999999999993</v>
      </c>
      <c r="K204" s="56"/>
      <c r="O204" s="30">
        <f>I200+I201+I202</f>
        <v>322.69</v>
      </c>
      <c r="P204" s="30">
        <f>K200+K201+K202</f>
        <v>6832.2999999999993</v>
      </c>
      <c r="X204">
        <f>IF(Source!BI81&lt;=1,I200+I201+I202-0, 0)</f>
        <v>0</v>
      </c>
      <c r="Y204">
        <f>IF(Source!BI81=2,I200+I201+I202-0, 0)</f>
        <v>0</v>
      </c>
      <c r="Z204">
        <f>IF(Source!BI81=3,I200+I201+I202-0, 0)</f>
        <v>0</v>
      </c>
      <c r="AA204">
        <f>IF(Source!BI81=4,I200+I201+I202,0)</f>
        <v>322.69</v>
      </c>
    </row>
    <row r="205" spans="1:27" ht="42.75" x14ac:dyDescent="0.2">
      <c r="A205" s="23" t="str">
        <f>Source!E82</f>
        <v>20</v>
      </c>
      <c r="B205" s="24" t="str">
        <f>Source!F82</f>
        <v>5.1-158-1</v>
      </c>
      <c r="C205" s="24" t="s">
        <v>182</v>
      </c>
      <c r="D205" s="25" t="str">
        <f>Source!H82</f>
        <v>фазировка</v>
      </c>
      <c r="E205" s="10">
        <f>Source!I82</f>
        <v>8</v>
      </c>
      <c r="F205" s="27"/>
      <c r="G205" s="26"/>
      <c r="H205" s="10"/>
      <c r="I205" s="28"/>
      <c r="J205" s="10"/>
      <c r="K205" s="28"/>
      <c r="Q205">
        <f>ROUND((Source!DN82/100)*ROUND((ROUND((Source!AF82*Source!AV82*Source!I82),2)),2), 2)</f>
        <v>88.86</v>
      </c>
      <c r="R205">
        <f>Source!X82</f>
        <v>1999.66</v>
      </c>
      <c r="S205">
        <f>ROUND((Source!DO82/100)*ROUND((ROUND((Source!AF82*Source!AV82*Source!I82),2)),2), 2)</f>
        <v>82.94</v>
      </c>
      <c r="T205">
        <f>Source!Y82</f>
        <v>1205.67</v>
      </c>
      <c r="U205">
        <f>ROUND((175/100)*ROUND((ROUND((Source!AE82*Source!AV82*Source!I82),2)),2), 2)</f>
        <v>0</v>
      </c>
      <c r="V205">
        <f>ROUND((157/100)*ROUND(ROUND((ROUND((Source!AE82*Source!AV82*Source!I82),2)*Source!BS82),2), 2), 2)</f>
        <v>0</v>
      </c>
    </row>
    <row r="206" spans="1:27" ht="28.5" x14ac:dyDescent="0.2">
      <c r="A206" s="23"/>
      <c r="B206" s="24"/>
      <c r="C206" s="24" t="s">
        <v>278</v>
      </c>
      <c r="D206" s="25"/>
      <c r="E206" s="10"/>
      <c r="F206" s="27">
        <f>Source!AO82</f>
        <v>14.24</v>
      </c>
      <c r="G206" s="26" t="str">
        <f>Source!DG82</f>
        <v>)*1,3)*0,8</v>
      </c>
      <c r="H206" s="10">
        <f>Source!AV82</f>
        <v>1</v>
      </c>
      <c r="I206" s="28">
        <f>ROUND((ROUND((Source!AF82*Source!AV82*Source!I82),2)),2)</f>
        <v>118.48</v>
      </c>
      <c r="J206" s="10">
        <f>IF(Source!BA82&lt;&gt; 0, Source!BA82, 1)</f>
        <v>24.82</v>
      </c>
      <c r="K206" s="28">
        <f>Source!S82</f>
        <v>2940.67</v>
      </c>
      <c r="W206">
        <f>I206</f>
        <v>118.48</v>
      </c>
    </row>
    <row r="207" spans="1:27" ht="14.25" x14ac:dyDescent="0.2">
      <c r="A207" s="23"/>
      <c r="B207" s="24"/>
      <c r="C207" s="24" t="s">
        <v>282</v>
      </c>
      <c r="D207" s="25" t="s">
        <v>283</v>
      </c>
      <c r="E207" s="10">
        <f>Source!DN82</f>
        <v>75</v>
      </c>
      <c r="F207" s="27"/>
      <c r="G207" s="26"/>
      <c r="H207" s="10"/>
      <c r="I207" s="28">
        <f>SUM(Q205:Q206)</f>
        <v>88.86</v>
      </c>
      <c r="J207" s="10">
        <f>Source!BZ82</f>
        <v>68</v>
      </c>
      <c r="K207" s="28">
        <f>SUM(R205:R206)</f>
        <v>1999.66</v>
      </c>
    </row>
    <row r="208" spans="1:27" ht="14.25" x14ac:dyDescent="0.2">
      <c r="A208" s="23"/>
      <c r="B208" s="24"/>
      <c r="C208" s="24" t="s">
        <v>284</v>
      </c>
      <c r="D208" s="25" t="s">
        <v>283</v>
      </c>
      <c r="E208" s="10">
        <f>Source!DO82</f>
        <v>70</v>
      </c>
      <c r="F208" s="27"/>
      <c r="G208" s="26"/>
      <c r="H208" s="10"/>
      <c r="I208" s="28">
        <f>SUM(S205:S207)</f>
        <v>82.94</v>
      </c>
      <c r="J208" s="10">
        <f>Source!CA82</f>
        <v>41</v>
      </c>
      <c r="K208" s="28">
        <f>SUM(T205:T207)</f>
        <v>1205.67</v>
      </c>
    </row>
    <row r="209" spans="1:27" ht="28.5" x14ac:dyDescent="0.2">
      <c r="A209" s="23"/>
      <c r="B209" s="24"/>
      <c r="C209" s="24" t="s">
        <v>286</v>
      </c>
      <c r="D209" s="25" t="s">
        <v>287</v>
      </c>
      <c r="E209" s="10">
        <f>Source!AQ82</f>
        <v>0.9</v>
      </c>
      <c r="F209" s="27"/>
      <c r="G209" s="26" t="str">
        <f>Source!DI82</f>
        <v>)*1,3)*0,8</v>
      </c>
      <c r="H209" s="10">
        <f>Source!AV82</f>
        <v>1</v>
      </c>
      <c r="I209" s="28">
        <f>Source!U82</f>
        <v>7.4880000000000013</v>
      </c>
      <c r="J209" s="10"/>
      <c r="K209" s="28"/>
    </row>
    <row r="210" spans="1:27" ht="15" x14ac:dyDescent="0.25">
      <c r="A210" s="31"/>
      <c r="B210" s="31"/>
      <c r="C210" s="31"/>
      <c r="D210" s="31"/>
      <c r="E210" s="31"/>
      <c r="F210" s="31"/>
      <c r="G210" s="31"/>
      <c r="H210" s="56">
        <f>I206+I207+I208</f>
        <v>290.27999999999997</v>
      </c>
      <c r="I210" s="56"/>
      <c r="J210" s="56">
        <f>K206+K207+K208</f>
        <v>6146</v>
      </c>
      <c r="K210" s="56"/>
      <c r="O210" s="30">
        <f>I206+I207+I208</f>
        <v>290.27999999999997</v>
      </c>
      <c r="P210" s="30">
        <f>K206+K207+K208</f>
        <v>6146</v>
      </c>
      <c r="X210">
        <f>IF(Source!BI82&lt;=1,I206+I207+I208-0, 0)</f>
        <v>0</v>
      </c>
      <c r="Y210">
        <f>IF(Source!BI82=2,I206+I207+I208-0, 0)</f>
        <v>0</v>
      </c>
      <c r="Z210">
        <f>IF(Source!BI82=3,I206+I207+I208-0, 0)</f>
        <v>0</v>
      </c>
      <c r="AA210">
        <f>IF(Source!BI82=4,I206+I207+I208,0)</f>
        <v>290.27999999999997</v>
      </c>
    </row>
    <row r="211" spans="1:27" ht="128.25" x14ac:dyDescent="0.2">
      <c r="A211" s="23" t="str">
        <f>Source!E83</f>
        <v>21</v>
      </c>
      <c r="B211" s="24" t="str">
        <f>Source!F83</f>
        <v>5.1-162-1</v>
      </c>
      <c r="C211" s="24" t="s">
        <v>187</v>
      </c>
      <c r="D211" s="25" t="str">
        <f>Source!H83</f>
        <v>измерение</v>
      </c>
      <c r="E211" s="10">
        <f>Source!I83</f>
        <v>27</v>
      </c>
      <c r="F211" s="27"/>
      <c r="G211" s="26"/>
      <c r="H211" s="10"/>
      <c r="I211" s="28"/>
      <c r="J211" s="10"/>
      <c r="K211" s="28"/>
      <c r="Q211">
        <f>ROUND((Source!DN83/100)*ROUND((ROUND((Source!AF83*Source!AV83*Source!I83),2)),2), 2)</f>
        <v>120.05</v>
      </c>
      <c r="R211">
        <f>Source!X83</f>
        <v>2701.43</v>
      </c>
      <c r="S211">
        <f>ROUND((Source!DO83/100)*ROUND((ROUND((Source!AF83*Source!AV83*Source!I83),2)),2), 2)</f>
        <v>112.04</v>
      </c>
      <c r="T211">
        <f>Source!Y83</f>
        <v>1628.8</v>
      </c>
      <c r="U211">
        <f>ROUND((175/100)*ROUND((ROUND((Source!AE83*Source!AV83*Source!I83),2)),2), 2)</f>
        <v>0</v>
      </c>
      <c r="V211">
        <f>ROUND((157/100)*ROUND(ROUND((ROUND((Source!AE83*Source!AV83*Source!I83),2)*Source!BS83),2), 2), 2)</f>
        <v>0</v>
      </c>
    </row>
    <row r="212" spans="1:27" ht="28.5" x14ac:dyDescent="0.2">
      <c r="A212" s="23"/>
      <c r="B212" s="24"/>
      <c r="C212" s="24" t="s">
        <v>278</v>
      </c>
      <c r="D212" s="25"/>
      <c r="E212" s="10"/>
      <c r="F212" s="27">
        <f>Source!AO83</f>
        <v>5.7</v>
      </c>
      <c r="G212" s="26" t="str">
        <f>Source!DG83</f>
        <v>)*1,3)*0,8</v>
      </c>
      <c r="H212" s="10">
        <f>Source!AV83</f>
        <v>1</v>
      </c>
      <c r="I212" s="28">
        <f>ROUND((ROUND((Source!AF83*Source!AV83*Source!I83),2)),2)</f>
        <v>160.06</v>
      </c>
      <c r="J212" s="10">
        <f>IF(Source!BA83&lt;&gt; 0, Source!BA83, 1)</f>
        <v>24.82</v>
      </c>
      <c r="K212" s="28">
        <f>Source!S83</f>
        <v>3972.69</v>
      </c>
      <c r="W212">
        <f>I212</f>
        <v>160.06</v>
      </c>
    </row>
    <row r="213" spans="1:27" ht="14.25" x14ac:dyDescent="0.2">
      <c r="A213" s="23"/>
      <c r="B213" s="24"/>
      <c r="C213" s="24" t="s">
        <v>282</v>
      </c>
      <c r="D213" s="25" t="s">
        <v>283</v>
      </c>
      <c r="E213" s="10">
        <f>Source!DN83</f>
        <v>75</v>
      </c>
      <c r="F213" s="27"/>
      <c r="G213" s="26"/>
      <c r="H213" s="10"/>
      <c r="I213" s="28">
        <f>SUM(Q211:Q212)</f>
        <v>120.05</v>
      </c>
      <c r="J213" s="10">
        <f>Source!BZ83</f>
        <v>68</v>
      </c>
      <c r="K213" s="28">
        <f>SUM(R211:R212)</f>
        <v>2701.43</v>
      </c>
    </row>
    <row r="214" spans="1:27" ht="14.25" x14ac:dyDescent="0.2">
      <c r="A214" s="23"/>
      <c r="B214" s="24"/>
      <c r="C214" s="24" t="s">
        <v>284</v>
      </c>
      <c r="D214" s="25" t="s">
        <v>283</v>
      </c>
      <c r="E214" s="10">
        <f>Source!DO83</f>
        <v>70</v>
      </c>
      <c r="F214" s="27"/>
      <c r="G214" s="26"/>
      <c r="H214" s="10"/>
      <c r="I214" s="28">
        <f>SUM(S211:S213)</f>
        <v>112.04</v>
      </c>
      <c r="J214" s="10">
        <f>Source!CA83</f>
        <v>41</v>
      </c>
      <c r="K214" s="28">
        <f>SUM(T211:T213)</f>
        <v>1628.8</v>
      </c>
    </row>
    <row r="215" spans="1:27" ht="28.5" x14ac:dyDescent="0.2">
      <c r="A215" s="23"/>
      <c r="B215" s="24"/>
      <c r="C215" s="24" t="s">
        <v>286</v>
      </c>
      <c r="D215" s="25" t="s">
        <v>287</v>
      </c>
      <c r="E215" s="10">
        <f>Source!AQ83</f>
        <v>0.36</v>
      </c>
      <c r="F215" s="27"/>
      <c r="G215" s="26" t="str">
        <f>Source!DI83</f>
        <v>)*1,3)*0,8</v>
      </c>
      <c r="H215" s="10">
        <f>Source!AV83</f>
        <v>1</v>
      </c>
      <c r="I215" s="28">
        <f>Source!U83</f>
        <v>10.1088</v>
      </c>
      <c r="J215" s="10"/>
      <c r="K215" s="28"/>
    </row>
    <row r="216" spans="1:27" ht="15" x14ac:dyDescent="0.25">
      <c r="A216" s="31"/>
      <c r="B216" s="31"/>
      <c r="C216" s="31"/>
      <c r="D216" s="31"/>
      <c r="E216" s="31"/>
      <c r="F216" s="31"/>
      <c r="G216" s="31"/>
      <c r="H216" s="56">
        <f>I212+I213+I214</f>
        <v>392.15000000000003</v>
      </c>
      <c r="I216" s="56"/>
      <c r="J216" s="56">
        <f>K212+K213+K214</f>
        <v>8302.92</v>
      </c>
      <c r="K216" s="56"/>
      <c r="O216" s="30">
        <f>I212+I213+I214</f>
        <v>392.15000000000003</v>
      </c>
      <c r="P216" s="30">
        <f>K212+K213+K214</f>
        <v>8302.92</v>
      </c>
      <c r="X216">
        <f>IF(Source!BI83&lt;=1,I212+I213+I214-0, 0)</f>
        <v>0</v>
      </c>
      <c r="Y216">
        <f>IF(Source!BI83=2,I212+I213+I214-0, 0)</f>
        <v>0</v>
      </c>
      <c r="Z216">
        <f>IF(Source!BI83=3,I212+I213+I214-0, 0)</f>
        <v>0</v>
      </c>
      <c r="AA216">
        <f>IF(Source!BI83=4,I212+I213+I214,0)</f>
        <v>392.15000000000003</v>
      </c>
    </row>
    <row r="217" spans="1:27" ht="42.75" x14ac:dyDescent="0.2">
      <c r="A217" s="23" t="str">
        <f>Source!E84</f>
        <v>22</v>
      </c>
      <c r="B217" s="24" t="str">
        <f>Source!F84</f>
        <v>5.1-162-2</v>
      </c>
      <c r="C217" s="24" t="s">
        <v>192</v>
      </c>
      <c r="D217" s="25" t="str">
        <f>Source!H84</f>
        <v>измерение</v>
      </c>
      <c r="E217" s="10">
        <f>Source!I84</f>
        <v>24</v>
      </c>
      <c r="F217" s="27"/>
      <c r="G217" s="26"/>
      <c r="H217" s="10"/>
      <c r="I217" s="28"/>
      <c r="J217" s="10"/>
      <c r="K217" s="28"/>
      <c r="Q217">
        <f>ROUND((Source!DN84/100)*ROUND((ROUND((Source!AF84*Source!AV84*Source!I84),2)),2), 2)</f>
        <v>29.58</v>
      </c>
      <c r="R217">
        <f>Source!X84</f>
        <v>547.11</v>
      </c>
      <c r="S217">
        <f>ROUND((Source!DO84/100)*ROUND((ROUND((Source!AF84*Source!AV84*Source!I84),2)),2), 2)</f>
        <v>27.61</v>
      </c>
      <c r="T217">
        <f>Source!Y84</f>
        <v>329.88</v>
      </c>
      <c r="U217">
        <f>ROUND((175/100)*ROUND((ROUND((Source!AE84*Source!AV84*Source!I84),2)),2), 2)</f>
        <v>0</v>
      </c>
      <c r="V217">
        <f>ROUND((157/100)*ROUND(ROUND((ROUND((Source!AE84*Source!AV84*Source!I84),2)*Source!BS84),2), 2), 2)</f>
        <v>0</v>
      </c>
    </row>
    <row r="218" spans="1:27" ht="28.5" x14ac:dyDescent="0.2">
      <c r="A218" s="23"/>
      <c r="B218" s="24"/>
      <c r="C218" s="24" t="s">
        <v>278</v>
      </c>
      <c r="D218" s="25"/>
      <c r="E218" s="10"/>
      <c r="F218" s="27">
        <f>Source!AO84</f>
        <v>1.58</v>
      </c>
      <c r="G218" s="26" t="str">
        <f>Source!DG84</f>
        <v>)*1,3)*0,8</v>
      </c>
      <c r="H218" s="10">
        <f>Source!AV84</f>
        <v>1</v>
      </c>
      <c r="I218" s="28">
        <f>ROUND((ROUND((Source!AF84*Source!AV84*Source!I84),2)),2)</f>
        <v>39.44</v>
      </c>
      <c r="J218" s="10">
        <f>IF(Source!BA84&lt;&gt; 0, Source!BA84, 1)</f>
        <v>20.399999999999999</v>
      </c>
      <c r="K218" s="28">
        <f>Source!S84</f>
        <v>804.58</v>
      </c>
      <c r="W218">
        <f>I218</f>
        <v>39.44</v>
      </c>
    </row>
    <row r="219" spans="1:27" ht="14.25" x14ac:dyDescent="0.2">
      <c r="A219" s="23"/>
      <c r="B219" s="24"/>
      <c r="C219" s="24" t="s">
        <v>282</v>
      </c>
      <c r="D219" s="25" t="s">
        <v>283</v>
      </c>
      <c r="E219" s="10">
        <f>Source!DN84</f>
        <v>75</v>
      </c>
      <c r="F219" s="27"/>
      <c r="G219" s="26"/>
      <c r="H219" s="10"/>
      <c r="I219" s="28">
        <f>SUM(Q217:Q218)</f>
        <v>29.58</v>
      </c>
      <c r="J219" s="10">
        <f>Source!BZ84</f>
        <v>68</v>
      </c>
      <c r="K219" s="28">
        <f>SUM(R217:R218)</f>
        <v>547.11</v>
      </c>
    </row>
    <row r="220" spans="1:27" ht="14.25" x14ac:dyDescent="0.2">
      <c r="A220" s="23"/>
      <c r="B220" s="24"/>
      <c r="C220" s="24" t="s">
        <v>284</v>
      </c>
      <c r="D220" s="25" t="s">
        <v>283</v>
      </c>
      <c r="E220" s="10">
        <f>Source!DO84</f>
        <v>70</v>
      </c>
      <c r="F220" s="27"/>
      <c r="G220" s="26"/>
      <c r="H220" s="10"/>
      <c r="I220" s="28">
        <f>SUM(S217:S219)</f>
        <v>27.61</v>
      </c>
      <c r="J220" s="10">
        <f>Source!CA84</f>
        <v>41</v>
      </c>
      <c r="K220" s="28">
        <f>SUM(T217:T219)</f>
        <v>329.88</v>
      </c>
    </row>
    <row r="221" spans="1:27" ht="28.5" x14ac:dyDescent="0.2">
      <c r="A221" s="23"/>
      <c r="B221" s="24"/>
      <c r="C221" s="24" t="s">
        <v>286</v>
      </c>
      <c r="D221" s="25" t="s">
        <v>287</v>
      </c>
      <c r="E221" s="10">
        <f>Source!AQ84</f>
        <v>0.1</v>
      </c>
      <c r="F221" s="27"/>
      <c r="G221" s="26" t="str">
        <f>Source!DI84</f>
        <v>)*1,3)*0,8</v>
      </c>
      <c r="H221" s="10">
        <f>Source!AV84</f>
        <v>1</v>
      </c>
      <c r="I221" s="28">
        <f>Source!U84</f>
        <v>2.4960000000000004</v>
      </c>
      <c r="J221" s="10"/>
      <c r="K221" s="28"/>
    </row>
    <row r="222" spans="1:27" ht="15" x14ac:dyDescent="0.25">
      <c r="A222" s="31"/>
      <c r="B222" s="31"/>
      <c r="C222" s="31"/>
      <c r="D222" s="31"/>
      <c r="E222" s="31"/>
      <c r="F222" s="31"/>
      <c r="G222" s="31"/>
      <c r="H222" s="56">
        <f>I218+I219+I220</f>
        <v>96.63</v>
      </c>
      <c r="I222" s="56"/>
      <c r="J222" s="56">
        <f>K218+K219+K220</f>
        <v>1681.5700000000002</v>
      </c>
      <c r="K222" s="56"/>
      <c r="O222" s="30">
        <f>I218+I219+I220</f>
        <v>96.63</v>
      </c>
      <c r="P222" s="30">
        <f>K218+K219+K220</f>
        <v>1681.5700000000002</v>
      </c>
      <c r="X222">
        <f>IF(Source!BI84&lt;=1,I218+I219+I220-0, 0)</f>
        <v>0</v>
      </c>
      <c r="Y222">
        <f>IF(Source!BI84=2,I218+I219+I220-0, 0)</f>
        <v>0</v>
      </c>
      <c r="Z222">
        <f>IF(Source!BI84=3,I218+I219+I220-0, 0)</f>
        <v>0</v>
      </c>
      <c r="AA222">
        <f>IF(Source!BI84=4,I218+I219+I220,0)</f>
        <v>96.63</v>
      </c>
    </row>
    <row r="223" spans="1:27" ht="57" x14ac:dyDescent="0.2">
      <c r="A223" s="23" t="str">
        <f>Source!E85</f>
        <v>23</v>
      </c>
      <c r="B223" s="24" t="str">
        <f>Source!F85</f>
        <v>5.1-156-5</v>
      </c>
      <c r="C223" s="24" t="s">
        <v>196</v>
      </c>
      <c r="D223" s="25" t="str">
        <f>Source!H85</f>
        <v>измерение</v>
      </c>
      <c r="E223" s="10">
        <f>Source!I85</f>
        <v>24</v>
      </c>
      <c r="F223" s="27"/>
      <c r="G223" s="26"/>
      <c r="H223" s="10"/>
      <c r="I223" s="28"/>
      <c r="J223" s="10"/>
      <c r="K223" s="28"/>
      <c r="Q223">
        <f>ROUND((Source!DN85/100)*ROUND((ROUND((Source!AF85*Source!AV85*Source!I85),2)),2), 2)</f>
        <v>133.29</v>
      </c>
      <c r="R223">
        <f>Source!X85</f>
        <v>2465.33</v>
      </c>
      <c r="S223">
        <f>ROUND((Source!DO85/100)*ROUND((ROUND((Source!AF85*Source!AV85*Source!I85),2)),2), 2)</f>
        <v>124.4</v>
      </c>
      <c r="T223">
        <f>Source!Y85</f>
        <v>1486.45</v>
      </c>
      <c r="U223">
        <f>ROUND((175/100)*ROUND((ROUND((Source!AE85*Source!AV85*Source!I85),2)),2), 2)</f>
        <v>0</v>
      </c>
      <c r="V223">
        <f>ROUND((157/100)*ROUND(ROUND((ROUND((Source!AE85*Source!AV85*Source!I85),2)*Source!BS85),2), 2), 2)</f>
        <v>0</v>
      </c>
    </row>
    <row r="224" spans="1:27" ht="28.5" x14ac:dyDescent="0.2">
      <c r="A224" s="23"/>
      <c r="B224" s="24"/>
      <c r="C224" s="24" t="s">
        <v>278</v>
      </c>
      <c r="D224" s="25"/>
      <c r="E224" s="10"/>
      <c r="F224" s="27">
        <f>Source!AO85</f>
        <v>7.12</v>
      </c>
      <c r="G224" s="26" t="str">
        <f>Source!DG85</f>
        <v>)*1,3)*0,8</v>
      </c>
      <c r="H224" s="10">
        <f>Source!AV85</f>
        <v>1</v>
      </c>
      <c r="I224" s="28">
        <f>ROUND((ROUND((Source!AF85*Source!AV85*Source!I85),2)),2)</f>
        <v>177.72</v>
      </c>
      <c r="J224" s="10">
        <f>IF(Source!BA85&lt;&gt; 0, Source!BA85, 1)</f>
        <v>20.399999999999999</v>
      </c>
      <c r="K224" s="28">
        <f>Source!S85</f>
        <v>3625.49</v>
      </c>
      <c r="W224">
        <f>I224</f>
        <v>177.72</v>
      </c>
    </row>
    <row r="225" spans="1:27" ht="14.25" x14ac:dyDescent="0.2">
      <c r="A225" s="23"/>
      <c r="B225" s="24"/>
      <c r="C225" s="24" t="s">
        <v>282</v>
      </c>
      <c r="D225" s="25" t="s">
        <v>283</v>
      </c>
      <c r="E225" s="10">
        <f>Source!DN85</f>
        <v>75</v>
      </c>
      <c r="F225" s="27"/>
      <c r="G225" s="26"/>
      <c r="H225" s="10"/>
      <c r="I225" s="28">
        <f>SUM(Q223:Q224)</f>
        <v>133.29</v>
      </c>
      <c r="J225" s="10">
        <f>Source!BZ85</f>
        <v>68</v>
      </c>
      <c r="K225" s="28">
        <f>SUM(R223:R224)</f>
        <v>2465.33</v>
      </c>
    </row>
    <row r="226" spans="1:27" ht="14.25" x14ac:dyDescent="0.2">
      <c r="A226" s="23"/>
      <c r="B226" s="24"/>
      <c r="C226" s="24" t="s">
        <v>284</v>
      </c>
      <c r="D226" s="25" t="s">
        <v>283</v>
      </c>
      <c r="E226" s="10">
        <f>Source!DO85</f>
        <v>70</v>
      </c>
      <c r="F226" s="27"/>
      <c r="G226" s="26"/>
      <c r="H226" s="10"/>
      <c r="I226" s="28">
        <f>SUM(S223:S225)</f>
        <v>124.4</v>
      </c>
      <c r="J226" s="10">
        <f>Source!CA85</f>
        <v>41</v>
      </c>
      <c r="K226" s="28">
        <f>SUM(T223:T225)</f>
        <v>1486.45</v>
      </c>
    </row>
    <row r="227" spans="1:27" ht="28.5" x14ac:dyDescent="0.2">
      <c r="A227" s="23"/>
      <c r="B227" s="24"/>
      <c r="C227" s="24" t="s">
        <v>286</v>
      </c>
      <c r="D227" s="25" t="s">
        <v>287</v>
      </c>
      <c r="E227" s="10">
        <f>Source!AQ85</f>
        <v>0.45</v>
      </c>
      <c r="F227" s="27"/>
      <c r="G227" s="26" t="str">
        <f>Source!DI85</f>
        <v>)*1,3)*0,8</v>
      </c>
      <c r="H227" s="10">
        <f>Source!AV85</f>
        <v>1</v>
      </c>
      <c r="I227" s="28">
        <f>Source!U85</f>
        <v>11.232000000000003</v>
      </c>
      <c r="J227" s="10"/>
      <c r="K227" s="28"/>
    </row>
    <row r="228" spans="1:27" ht="15" x14ac:dyDescent="0.25">
      <c r="A228" s="31"/>
      <c r="B228" s="31"/>
      <c r="C228" s="31"/>
      <c r="D228" s="31"/>
      <c r="E228" s="31"/>
      <c r="F228" s="31"/>
      <c r="G228" s="31"/>
      <c r="H228" s="56">
        <f>I224+I225+I226</f>
        <v>435.40999999999997</v>
      </c>
      <c r="I228" s="56"/>
      <c r="J228" s="56">
        <f>K224+K225+K226</f>
        <v>7577.2699999999995</v>
      </c>
      <c r="K228" s="56"/>
      <c r="O228" s="30">
        <f>I224+I225+I226</f>
        <v>435.40999999999997</v>
      </c>
      <c r="P228" s="30">
        <f>K224+K225+K226</f>
        <v>7577.2699999999995</v>
      </c>
      <c r="X228">
        <f>IF(Source!BI85&lt;=1,I224+I225+I226-0, 0)</f>
        <v>0</v>
      </c>
      <c r="Y228">
        <f>IF(Source!BI85=2,I224+I225+I226-0, 0)</f>
        <v>0</v>
      </c>
      <c r="Z228">
        <f>IF(Source!BI85=3,I224+I225+I226-0, 0)</f>
        <v>0</v>
      </c>
      <c r="AA228">
        <f>IF(Source!BI85=4,I224+I225+I226,0)</f>
        <v>435.40999999999997</v>
      </c>
    </row>
    <row r="230" spans="1:27" ht="15" x14ac:dyDescent="0.25">
      <c r="A230" s="55" t="str">
        <f>CONCATENATE("Итого по разделу: ",IF(Source!G87&lt;&gt;"Новый раздел", Source!G87, ""))</f>
        <v>Итого по разделу: Пусконаладочные работы.</v>
      </c>
      <c r="B230" s="55"/>
      <c r="C230" s="55"/>
      <c r="D230" s="55"/>
      <c r="E230" s="55"/>
      <c r="F230" s="55"/>
      <c r="G230" s="55"/>
      <c r="H230" s="53">
        <f>SUM(O162:O229)</f>
        <v>5789.7199999999984</v>
      </c>
      <c r="I230" s="54"/>
      <c r="J230" s="53">
        <f>SUM(P162:P229)</f>
        <v>112204.67000000001</v>
      </c>
      <c r="K230" s="54"/>
    </row>
    <row r="231" spans="1:27" hidden="1" x14ac:dyDescent="0.2">
      <c r="A231" t="s">
        <v>288</v>
      </c>
      <c r="H231">
        <f>SUM(AC162:AC230)</f>
        <v>0</v>
      </c>
      <c r="J231">
        <f>SUM(AD162:AD230)</f>
        <v>0</v>
      </c>
    </row>
    <row r="232" spans="1:27" hidden="1" x14ac:dyDescent="0.2">
      <c r="A232" t="s">
        <v>289</v>
      </c>
      <c r="H232">
        <f>SUM(AE162:AE231)</f>
        <v>0</v>
      </c>
      <c r="J232">
        <f>SUM(AF162:AF231)</f>
        <v>0</v>
      </c>
    </row>
    <row r="234" spans="1:27" ht="16.5" x14ac:dyDescent="0.25">
      <c r="A234" s="57" t="str">
        <f>CONCATENATE("Раздел: ",IF(Source!G117&lt;&gt;"Новый раздел", Source!G117, ""))</f>
        <v>Раздел: Материалы, не учтенные ценником и оборудование.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27" ht="71.25" x14ac:dyDescent="0.2">
      <c r="A235" s="23" t="str">
        <f>Source!E121</f>
        <v>24</v>
      </c>
      <c r="B235" s="24" t="str">
        <f>Source!F121</f>
        <v>1.23-1-4</v>
      </c>
      <c r="C235" s="24" t="s">
        <v>201</v>
      </c>
      <c r="D235" s="25" t="str">
        <f>Source!H121</f>
        <v>км</v>
      </c>
      <c r="E235" s="10">
        <f>Source!I121</f>
        <v>0.11700000000000001</v>
      </c>
      <c r="F235" s="27">
        <f>Source!AL121</f>
        <v>19941.89</v>
      </c>
      <c r="G235" s="26" t="str">
        <f>Source!DD121</f>
        <v/>
      </c>
      <c r="H235" s="10">
        <f>Source!AW121</f>
        <v>1</v>
      </c>
      <c r="I235" s="28">
        <f>ROUND((ROUND((Source!AC121*Source!AW121*Source!I121),2)),2)</f>
        <v>2333.1999999999998</v>
      </c>
      <c r="J235" s="10">
        <f>IF(Source!BC121&lt;&gt; 0, Source!BC121, 1)</f>
        <v>8.0500000000000007</v>
      </c>
      <c r="K235" s="28">
        <f>Source!P121</f>
        <v>18782.259999999998</v>
      </c>
      <c r="Q235">
        <f>ROUND((Source!DN121/100)*ROUND((ROUND((Source!AF121*Source!AV121*Source!I121),2)),2), 2)</f>
        <v>0</v>
      </c>
      <c r="R235">
        <f>Source!X121</f>
        <v>0</v>
      </c>
      <c r="S235">
        <f>ROUND((Source!DO121/100)*ROUND((ROUND((Source!AF121*Source!AV121*Source!I121),2)),2), 2)</f>
        <v>0</v>
      </c>
      <c r="T235">
        <f>Source!Y121</f>
        <v>0</v>
      </c>
      <c r="U235">
        <f>ROUND((175/100)*ROUND((ROUND((Source!AE121*Source!AV121*Source!I121),2)),2), 2)</f>
        <v>0</v>
      </c>
      <c r="V235">
        <f>ROUND((157/100)*ROUND(ROUND((ROUND((Source!AE121*Source!AV121*Source!I121),2)*Source!BS121),2), 2), 2)</f>
        <v>0</v>
      </c>
    </row>
    <row r="236" spans="1:27" x14ac:dyDescent="0.2">
      <c r="C236" s="32" t="str">
        <f>"Объем: "&amp;Source!I121&amp;"="&amp;Source!I32&amp;"/"&amp;"10"</f>
        <v>Объем: 0,117=1,17/10</v>
      </c>
    </row>
    <row r="237" spans="1:27" ht="15" x14ac:dyDescent="0.25">
      <c r="A237" s="31"/>
      <c r="B237" s="31"/>
      <c r="C237" s="31"/>
      <c r="D237" s="31"/>
      <c r="E237" s="31"/>
      <c r="F237" s="31"/>
      <c r="G237" s="31"/>
      <c r="H237" s="56">
        <f>I235</f>
        <v>2333.1999999999998</v>
      </c>
      <c r="I237" s="56"/>
      <c r="J237" s="56">
        <f>K235</f>
        <v>18782.259999999998</v>
      </c>
      <c r="K237" s="56"/>
      <c r="O237" s="30">
        <f>I235</f>
        <v>2333.1999999999998</v>
      </c>
      <c r="P237" s="30">
        <f>K235</f>
        <v>18782.259999999998</v>
      </c>
      <c r="X237">
        <f>IF(Source!BI121&lt;=1,I235-0, 0)</f>
        <v>0</v>
      </c>
      <c r="Y237">
        <f>IF(Source!BI121=2,I235-0, 0)</f>
        <v>2333.1999999999998</v>
      </c>
      <c r="Z237">
        <f>IF(Source!BI121=3,I235-0, 0)</f>
        <v>0</v>
      </c>
      <c r="AA237">
        <f>IF(Source!BI121=4,I235,0)</f>
        <v>0</v>
      </c>
    </row>
    <row r="238" spans="1:27" ht="114" x14ac:dyDescent="0.2">
      <c r="A238" s="23" t="str">
        <f>Source!E122</f>
        <v>25</v>
      </c>
      <c r="B238" s="24" t="str">
        <f>Source!F122</f>
        <v>1.23-7-217</v>
      </c>
      <c r="C238" s="24" t="s">
        <v>209</v>
      </c>
      <c r="D238" s="25" t="str">
        <f>Source!H122</f>
        <v>км</v>
      </c>
      <c r="E238" s="10">
        <f>Source!I122</f>
        <v>1.7999999999999999E-2</v>
      </c>
      <c r="F238" s="27">
        <f>Source!AL122</f>
        <v>99361.96</v>
      </c>
      <c r="G238" s="26" t="str">
        <f>Source!DD122</f>
        <v/>
      </c>
      <c r="H238" s="10">
        <f>Source!AW122</f>
        <v>1</v>
      </c>
      <c r="I238" s="28">
        <f>ROUND((ROUND((Source!AC122*Source!AW122*Source!I122),2)),2)</f>
        <v>1788.52</v>
      </c>
      <c r="J238" s="10">
        <f>IF(Source!BC122&lt;&gt; 0, Source!BC122, 1)</f>
        <v>3.43</v>
      </c>
      <c r="K238" s="28">
        <f>Source!P122</f>
        <v>6134.62</v>
      </c>
      <c r="Q238">
        <f>ROUND((Source!DN122/100)*ROUND((ROUND((Source!AF122*Source!AV122*Source!I122),2)),2), 2)</f>
        <v>0</v>
      </c>
      <c r="R238">
        <f>Source!X122</f>
        <v>0</v>
      </c>
      <c r="S238">
        <f>ROUND((Source!DO122/100)*ROUND((ROUND((Source!AF122*Source!AV122*Source!I122),2)),2), 2)</f>
        <v>0</v>
      </c>
      <c r="T238">
        <f>Source!Y122</f>
        <v>0</v>
      </c>
      <c r="U238">
        <f>ROUND((175/100)*ROUND((ROUND((Source!AE122*Source!AV122*Source!I122),2)),2), 2)</f>
        <v>0</v>
      </c>
      <c r="V238">
        <f>ROUND((157/100)*ROUND(ROUND((ROUND((Source!AE122*Source!AV122*Source!I122),2)*Source!BS122),2), 2), 2)</f>
        <v>0</v>
      </c>
    </row>
    <row r="239" spans="1:27" x14ac:dyDescent="0.2">
      <c r="C239" s="32" t="str">
        <f>"Объем: "&amp;Source!I122&amp;"="&amp;Source!I33&amp;"/"&amp;"10"</f>
        <v>Объем: 0,018=0,18/10</v>
      </c>
    </row>
    <row r="240" spans="1:27" ht="15" x14ac:dyDescent="0.25">
      <c r="A240" s="31"/>
      <c r="B240" s="31"/>
      <c r="C240" s="31"/>
      <c r="D240" s="31"/>
      <c r="E240" s="31"/>
      <c r="F240" s="31"/>
      <c r="G240" s="31"/>
      <c r="H240" s="56">
        <f>I238</f>
        <v>1788.52</v>
      </c>
      <c r="I240" s="56"/>
      <c r="J240" s="56">
        <f>K238</f>
        <v>6134.62</v>
      </c>
      <c r="K240" s="56"/>
      <c r="O240" s="30">
        <f>I238</f>
        <v>1788.52</v>
      </c>
      <c r="P240" s="30">
        <f>K238</f>
        <v>6134.62</v>
      </c>
      <c r="X240">
        <f>IF(Source!BI122&lt;=1,I238-0, 0)</f>
        <v>0</v>
      </c>
      <c r="Y240">
        <f>IF(Source!BI122=2,I238-0, 0)</f>
        <v>1788.52</v>
      </c>
      <c r="Z240">
        <f>IF(Source!BI122=3,I238-0, 0)</f>
        <v>0</v>
      </c>
      <c r="AA240">
        <f>IF(Source!BI122=4,I238,0)</f>
        <v>0</v>
      </c>
    </row>
    <row r="241" spans="1:38" ht="114" x14ac:dyDescent="0.2">
      <c r="A241" s="23" t="str">
        <f>Source!E123</f>
        <v>26</v>
      </c>
      <c r="B241" s="24" t="str">
        <f>Source!F123</f>
        <v>1.23-7-219</v>
      </c>
      <c r="C241" s="24" t="s">
        <v>213</v>
      </c>
      <c r="D241" s="25" t="str">
        <f>Source!H123</f>
        <v>км</v>
      </c>
      <c r="E241" s="10">
        <f>Source!I123</f>
        <v>3.5999999999999997E-2</v>
      </c>
      <c r="F241" s="27">
        <f>Source!AL123</f>
        <v>140415.53</v>
      </c>
      <c r="G241" s="26" t="str">
        <f>Source!DD123</f>
        <v/>
      </c>
      <c r="H241" s="10">
        <f>Source!AW123</f>
        <v>1</v>
      </c>
      <c r="I241" s="28">
        <f>ROUND((ROUND((Source!AC123*Source!AW123*Source!I123),2)),2)</f>
        <v>5054.96</v>
      </c>
      <c r="J241" s="10">
        <f>IF(Source!BC123&lt;&gt; 0, Source!BC123, 1)</f>
        <v>4.1399999999999997</v>
      </c>
      <c r="K241" s="28">
        <f>Source!P123</f>
        <v>20927.53</v>
      </c>
      <c r="Q241">
        <f>ROUND((Source!DN123/100)*ROUND((ROUND((Source!AF123*Source!AV123*Source!I123),2)),2), 2)</f>
        <v>0</v>
      </c>
      <c r="R241">
        <f>Source!X123</f>
        <v>0</v>
      </c>
      <c r="S241">
        <f>ROUND((Source!DO123/100)*ROUND((ROUND((Source!AF123*Source!AV123*Source!I123),2)),2), 2)</f>
        <v>0</v>
      </c>
      <c r="T241">
        <f>Source!Y123</f>
        <v>0</v>
      </c>
      <c r="U241">
        <f>ROUND((175/100)*ROUND((ROUND((Source!AE123*Source!AV123*Source!I123),2)),2), 2)</f>
        <v>0</v>
      </c>
      <c r="V241">
        <f>ROUND((157/100)*ROUND(ROUND((ROUND((Source!AE123*Source!AV123*Source!I123),2)*Source!BS123),2), 2), 2)</f>
        <v>0</v>
      </c>
    </row>
    <row r="242" spans="1:38" x14ac:dyDescent="0.2">
      <c r="C242" s="32" t="str">
        <f>"Объем: "&amp;Source!I123&amp;"="&amp;Source!I35&amp;"/"&amp;"10"</f>
        <v>Объем: 0,036=0,36/10</v>
      </c>
    </row>
    <row r="243" spans="1:38" ht="15" x14ac:dyDescent="0.25">
      <c r="A243" s="31"/>
      <c r="B243" s="31"/>
      <c r="C243" s="31"/>
      <c r="D243" s="31"/>
      <c r="E243" s="31"/>
      <c r="F243" s="31"/>
      <c r="G243" s="31"/>
      <c r="H243" s="56">
        <f>I241</f>
        <v>5054.96</v>
      </c>
      <c r="I243" s="56"/>
      <c r="J243" s="56">
        <f>K241</f>
        <v>20927.53</v>
      </c>
      <c r="K243" s="56"/>
      <c r="O243" s="30">
        <f>I241</f>
        <v>5054.96</v>
      </c>
      <c r="P243" s="30">
        <f>K241</f>
        <v>20927.53</v>
      </c>
      <c r="X243">
        <f>IF(Source!BI123&lt;=1,I241-0, 0)</f>
        <v>0</v>
      </c>
      <c r="Y243">
        <f>IF(Source!BI123=2,I241-0, 0)</f>
        <v>5054.96</v>
      </c>
      <c r="Z243">
        <f>IF(Source!BI123=3,I241-0, 0)</f>
        <v>0</v>
      </c>
      <c r="AA243">
        <f>IF(Source!BI123=4,I241,0)</f>
        <v>0</v>
      </c>
    </row>
    <row r="244" spans="1:38" ht="99.75" x14ac:dyDescent="0.2">
      <c r="A244" s="23" t="str">
        <f>Source!E124</f>
        <v>27</v>
      </c>
      <c r="B244" s="24" t="str">
        <f>Source!F124</f>
        <v>1.21-5-281</v>
      </c>
      <c r="C244" s="24" t="s">
        <v>217</v>
      </c>
      <c r="D244" s="25" t="str">
        <f>Source!H124</f>
        <v>компл.</v>
      </c>
      <c r="E244" s="10">
        <f>Source!I124</f>
        <v>8</v>
      </c>
      <c r="F244" s="27">
        <f>Source!AL124</f>
        <v>306.16000000000003</v>
      </c>
      <c r="G244" s="26" t="str">
        <f>Source!DD124</f>
        <v/>
      </c>
      <c r="H244" s="10">
        <f>Source!AW124</f>
        <v>1</v>
      </c>
      <c r="I244" s="28">
        <f>ROUND((ROUND((Source!AC124*Source!AW124*Source!I124),2)),2)</f>
        <v>2449.2800000000002</v>
      </c>
      <c r="J244" s="10">
        <f>IF(Source!BC124&lt;&gt; 0, Source!BC124, 1)</f>
        <v>2.74</v>
      </c>
      <c r="K244" s="28">
        <f>Source!P124</f>
        <v>6711.03</v>
      </c>
      <c r="Q244">
        <f>ROUND((Source!DN124/100)*ROUND((ROUND((Source!AF124*Source!AV124*Source!I124),2)),2), 2)</f>
        <v>0</v>
      </c>
      <c r="R244">
        <f>Source!X124</f>
        <v>0</v>
      </c>
      <c r="S244">
        <f>ROUND((Source!DO124/100)*ROUND((ROUND((Source!AF124*Source!AV124*Source!I124),2)),2), 2)</f>
        <v>0</v>
      </c>
      <c r="T244">
        <f>Source!Y124</f>
        <v>0</v>
      </c>
      <c r="U244">
        <f>ROUND((175/100)*ROUND((ROUND((Source!AE124*Source!AV124*Source!I124),2)),2), 2)</f>
        <v>0</v>
      </c>
      <c r="V244">
        <f>ROUND((157/100)*ROUND(ROUND((ROUND((Source!AE124*Source!AV124*Source!I124),2)*Source!BS124),2), 2), 2)</f>
        <v>0</v>
      </c>
    </row>
    <row r="245" spans="1:38" ht="15" x14ac:dyDescent="0.25">
      <c r="A245" s="31"/>
      <c r="B245" s="31"/>
      <c r="C245" s="31"/>
      <c r="D245" s="31"/>
      <c r="E245" s="31"/>
      <c r="F245" s="31"/>
      <c r="G245" s="31"/>
      <c r="H245" s="56">
        <f>I244</f>
        <v>2449.2800000000002</v>
      </c>
      <c r="I245" s="56"/>
      <c r="J245" s="56">
        <f>K244</f>
        <v>6711.03</v>
      </c>
      <c r="K245" s="56"/>
      <c r="O245" s="30">
        <f>I244</f>
        <v>2449.2800000000002</v>
      </c>
      <c r="P245" s="30">
        <f>K244</f>
        <v>6711.03</v>
      </c>
      <c r="X245">
        <f>IF(Source!BI124&lt;=1,I244-0, 0)</f>
        <v>0</v>
      </c>
      <c r="Y245">
        <f>IF(Source!BI124=2,I244-0, 0)</f>
        <v>2449.2800000000002</v>
      </c>
      <c r="Z245">
        <f>IF(Source!BI124=3,I244-0, 0)</f>
        <v>0</v>
      </c>
      <c r="AA245">
        <f>IF(Source!BI124=4,I244,0)</f>
        <v>0</v>
      </c>
    </row>
    <row r="246" spans="1:38" ht="85.5" x14ac:dyDescent="0.2">
      <c r="A246" s="23" t="str">
        <f>Source!E125</f>
        <v>28</v>
      </c>
      <c r="B246" s="24" t="str">
        <f>Source!F125</f>
        <v>1.21-5-251</v>
      </c>
      <c r="C246" s="24" t="s">
        <v>222</v>
      </c>
      <c r="D246" s="25" t="str">
        <f>Source!H125</f>
        <v>компл.</v>
      </c>
      <c r="E246" s="10">
        <f>Source!I125</f>
        <v>3</v>
      </c>
      <c r="F246" s="27">
        <f>Source!AL125</f>
        <v>813.96</v>
      </c>
      <c r="G246" s="26" t="str">
        <f>Source!DD125</f>
        <v/>
      </c>
      <c r="H246" s="10">
        <f>Source!AW125</f>
        <v>1</v>
      </c>
      <c r="I246" s="28">
        <f>ROUND((ROUND((Source!AC125*Source!AW125*Source!I125),2)),2)</f>
        <v>2441.88</v>
      </c>
      <c r="J246" s="10">
        <f>IF(Source!BC125&lt;&gt; 0, Source!BC125, 1)</f>
        <v>2.89</v>
      </c>
      <c r="K246" s="28">
        <f>Source!P125</f>
        <v>7057.03</v>
      </c>
      <c r="Q246">
        <f>ROUND((Source!DN125/100)*ROUND((ROUND((Source!AF125*Source!AV125*Source!I125),2)),2), 2)</f>
        <v>0</v>
      </c>
      <c r="R246">
        <f>Source!X125</f>
        <v>0</v>
      </c>
      <c r="S246">
        <f>ROUND((Source!DO125/100)*ROUND((ROUND((Source!AF125*Source!AV125*Source!I125),2)),2), 2)</f>
        <v>0</v>
      </c>
      <c r="T246">
        <f>Source!Y125</f>
        <v>0</v>
      </c>
      <c r="U246">
        <f>ROUND((175/100)*ROUND((ROUND((Source!AE125*Source!AV125*Source!I125),2)),2), 2)</f>
        <v>0</v>
      </c>
      <c r="V246">
        <f>ROUND((157/100)*ROUND(ROUND((ROUND((Source!AE125*Source!AV125*Source!I125),2)*Source!BS125),2), 2), 2)</f>
        <v>0</v>
      </c>
    </row>
    <row r="247" spans="1:38" ht="15" x14ac:dyDescent="0.25">
      <c r="A247" s="31"/>
      <c r="B247" s="31"/>
      <c r="C247" s="31"/>
      <c r="D247" s="31"/>
      <c r="E247" s="31"/>
      <c r="F247" s="31"/>
      <c r="G247" s="31"/>
      <c r="H247" s="56">
        <f>I246</f>
        <v>2441.88</v>
      </c>
      <c r="I247" s="56"/>
      <c r="J247" s="56">
        <f>K246</f>
        <v>7057.03</v>
      </c>
      <c r="K247" s="56"/>
      <c r="O247" s="30">
        <f>I246</f>
        <v>2441.88</v>
      </c>
      <c r="P247" s="30">
        <f>K246</f>
        <v>7057.03</v>
      </c>
      <c r="X247">
        <f>IF(Source!BI125&lt;=1,I246-0, 0)</f>
        <v>0</v>
      </c>
      <c r="Y247">
        <f>IF(Source!BI125=2,I246-0, 0)</f>
        <v>2441.88</v>
      </c>
      <c r="Z247">
        <f>IF(Source!BI125=3,I246-0, 0)</f>
        <v>0</v>
      </c>
      <c r="AA247">
        <f>IF(Source!BI125=4,I246,0)</f>
        <v>0</v>
      </c>
    </row>
    <row r="248" spans="1:38" ht="28.5" x14ac:dyDescent="0.2">
      <c r="A248" s="23" t="str">
        <f>Source!E126</f>
        <v>29</v>
      </c>
      <c r="B248" s="24" t="str">
        <f>Source!F126</f>
        <v>1.23-16-1</v>
      </c>
      <c r="C248" s="24" t="s">
        <v>226</v>
      </c>
      <c r="D248" s="25" t="str">
        <f>Source!H126</f>
        <v>т</v>
      </c>
      <c r="E248" s="10">
        <f>Source!I126</f>
        <v>3.3000000000000002E-2</v>
      </c>
      <c r="F248" s="27">
        <f>Source!AL126</f>
        <v>31290.95</v>
      </c>
      <c r="G248" s="26" t="str">
        <f>Source!DD126</f>
        <v/>
      </c>
      <c r="H248" s="10">
        <f>Source!AW126</f>
        <v>1</v>
      </c>
      <c r="I248" s="28">
        <f>ROUND((ROUND((Source!AC126*Source!AW126*Source!I126),2)),2)</f>
        <v>1032.5999999999999</v>
      </c>
      <c r="J248" s="10">
        <f>IF(Source!BC126&lt;&gt; 0, Source!BC126, 1)</f>
        <v>6.31</v>
      </c>
      <c r="K248" s="28">
        <f>Source!P126</f>
        <v>6515.71</v>
      </c>
      <c r="Q248">
        <f>ROUND((Source!DN126/100)*ROUND((ROUND((Source!AF126*Source!AV126*Source!I126),2)),2), 2)</f>
        <v>0</v>
      </c>
      <c r="R248">
        <f>Source!X126</f>
        <v>0</v>
      </c>
      <c r="S248">
        <f>ROUND((Source!DO126/100)*ROUND((ROUND((Source!AF126*Source!AV126*Source!I126),2)),2), 2)</f>
        <v>0</v>
      </c>
      <c r="T248">
        <f>Source!Y126</f>
        <v>0</v>
      </c>
      <c r="U248">
        <f>ROUND((175/100)*ROUND((ROUND((Source!AE126*Source!AV126*Source!I126),2)),2), 2)</f>
        <v>0</v>
      </c>
      <c r="V248">
        <f>ROUND((157/100)*ROUND(ROUND((ROUND((Source!AE126*Source!AV126*Source!I126),2)*Source!BS126),2), 2), 2)</f>
        <v>0</v>
      </c>
    </row>
    <row r="249" spans="1:38" ht="15" x14ac:dyDescent="0.25">
      <c r="A249" s="31"/>
      <c r="B249" s="31"/>
      <c r="C249" s="31"/>
      <c r="D249" s="31"/>
      <c r="E249" s="31"/>
      <c r="F249" s="31"/>
      <c r="G249" s="31"/>
      <c r="H249" s="56">
        <f>I248</f>
        <v>1032.5999999999999</v>
      </c>
      <c r="I249" s="56"/>
      <c r="J249" s="56">
        <f>K248</f>
        <v>6515.71</v>
      </c>
      <c r="K249" s="56"/>
      <c r="O249" s="30">
        <f>I248</f>
        <v>1032.5999999999999</v>
      </c>
      <c r="P249" s="30">
        <f>K248</f>
        <v>6515.71</v>
      </c>
      <c r="X249">
        <f>IF(Source!BI126&lt;=1,I248-0, 0)</f>
        <v>0</v>
      </c>
      <c r="Y249">
        <f>IF(Source!BI126=2,I248-0, 0)</f>
        <v>1032.5999999999999</v>
      </c>
      <c r="Z249">
        <f>IF(Source!BI126=3,I248-0, 0)</f>
        <v>0</v>
      </c>
      <c r="AA249">
        <f>IF(Source!BI126=4,I248,0)</f>
        <v>0</v>
      </c>
    </row>
    <row r="250" spans="1:38" ht="114" x14ac:dyDescent="0.2">
      <c r="A250" s="23" t="str">
        <f>Source!E127</f>
        <v>30</v>
      </c>
      <c r="B250" s="24" t="str">
        <f>Source!F127</f>
        <v>Накладная №12 от 18.07.2019.   Накладная №10 от 10.08.2018.</v>
      </c>
      <c r="C250" s="24" t="s">
        <v>230</v>
      </c>
      <c r="D250" s="25" t="str">
        <f>Source!H127</f>
        <v>КОМПЛЕКТ</v>
      </c>
      <c r="E250" s="10">
        <f>Source!I127</f>
        <v>1</v>
      </c>
      <c r="F250" s="27">
        <f>Source!AL127</f>
        <v>1563409.86</v>
      </c>
      <c r="G250" s="26" t="str">
        <f>Source!DD127</f>
        <v/>
      </c>
      <c r="H250" s="10">
        <f>Source!AW127</f>
        <v>1</v>
      </c>
      <c r="I250" s="28">
        <f>ROUND((ROUND((Source!AC127*Source!AW127*Source!I127),2)),2)</f>
        <v>1563409.86</v>
      </c>
      <c r="J250" s="10">
        <f>IF(Source!BC127&lt;&gt; 0, Source!BC127, 1)</f>
        <v>1</v>
      </c>
      <c r="K250" s="28">
        <f>Source!P127</f>
        <v>1563409.86</v>
      </c>
      <c r="Q250">
        <f>ROUND((Source!DN127/100)*ROUND((ROUND((Source!AF127*Source!AV127*Source!I127),2)),2), 2)</f>
        <v>0</v>
      </c>
      <c r="R250">
        <f>Source!X127</f>
        <v>0</v>
      </c>
      <c r="S250">
        <f>ROUND((Source!DO127/100)*ROUND((ROUND((Source!AF127*Source!AV127*Source!I127),2)),2), 2)</f>
        <v>0</v>
      </c>
      <c r="T250">
        <f>Source!Y127</f>
        <v>0</v>
      </c>
      <c r="U250">
        <f>ROUND((175/100)*ROUND((ROUND((Source!AE127*Source!AV127*Source!I127),2)),2), 2)</f>
        <v>0</v>
      </c>
      <c r="V250">
        <f>ROUND((157/100)*ROUND(ROUND((ROUND((Source!AE127*Source!AV127*Source!I127),2)*Source!BS127),2), 2), 2)</f>
        <v>0</v>
      </c>
    </row>
    <row r="251" spans="1:38" ht="15" x14ac:dyDescent="0.25">
      <c r="A251" s="31"/>
      <c r="B251" s="31"/>
      <c r="C251" s="31"/>
      <c r="D251" s="31"/>
      <c r="E251" s="31"/>
      <c r="F251" s="31"/>
      <c r="G251" s="31"/>
      <c r="H251" s="56">
        <f>I250</f>
        <v>1563409.86</v>
      </c>
      <c r="I251" s="56"/>
      <c r="J251" s="56">
        <f>K250</f>
        <v>1563409.86</v>
      </c>
      <c r="K251" s="56"/>
      <c r="O251" s="30">
        <f>I250</f>
        <v>1563409.86</v>
      </c>
      <c r="P251" s="30">
        <f>K250</f>
        <v>1563409.86</v>
      </c>
      <c r="X251">
        <f>IF(Source!BI127&lt;=1,I250-0, 0)</f>
        <v>0</v>
      </c>
      <c r="Y251">
        <f>IF(Source!BI127=2,I250-0, 0)</f>
        <v>0</v>
      </c>
      <c r="Z251">
        <f>IF(Source!BI127=3,I250-0, 0)</f>
        <v>0</v>
      </c>
      <c r="AA251">
        <f>IF(Source!BI127=4,I250,0)</f>
        <v>1563409.86</v>
      </c>
    </row>
    <row r="253" spans="1:38" ht="15" x14ac:dyDescent="0.25">
      <c r="A253" s="55" t="str">
        <f>CONCATENATE("Итого по разделу: ",IF(Source!G129&lt;&gt;"Новый раздел", Source!G129, ""))</f>
        <v>Итого по разделу: Материалы, не учтенные ценником и оборудование.</v>
      </c>
      <c r="B253" s="55"/>
      <c r="C253" s="55"/>
      <c r="D253" s="55"/>
      <c r="E253" s="55"/>
      <c r="F253" s="55"/>
      <c r="G253" s="55"/>
      <c r="H253" s="53">
        <f>SUM(O234:O252)</f>
        <v>1578510.3</v>
      </c>
      <c r="I253" s="54"/>
      <c r="J253" s="53">
        <f>SUM(P234:P252)</f>
        <v>1629538.04</v>
      </c>
      <c r="K253" s="54"/>
      <c r="AL253" s="34" t="str">
        <f>CONCATENATE("Итого по разделу: ",IF(Source!G129&lt;&gt;"Новый раздел", Source!G129, ""))</f>
        <v>Итого по разделу: Материалы, не учтенные ценником и оборудование.</v>
      </c>
    </row>
    <row r="254" spans="1:38" hidden="1" x14ac:dyDescent="0.2">
      <c r="A254" t="s">
        <v>288</v>
      </c>
      <c r="H254">
        <f>SUM(AC234:AC253)</f>
        <v>0</v>
      </c>
      <c r="J254">
        <f>SUM(AD234:AD253)</f>
        <v>0</v>
      </c>
    </row>
    <row r="255" spans="1:38" hidden="1" x14ac:dyDescent="0.2">
      <c r="A255" t="s">
        <v>289</v>
      </c>
      <c r="H255">
        <f>SUM(AE234:AE254)</f>
        <v>0</v>
      </c>
      <c r="J255">
        <f>SUM(AF234:AF254)</f>
        <v>0</v>
      </c>
    </row>
    <row r="257" spans="1:38" ht="15" x14ac:dyDescent="0.25">
      <c r="A257" s="55" t="str">
        <f>CONCATENATE("Итого по локальной смете: ",IF(Source!G159&lt;&gt;"Новая локальная смета", Source!G159, ""))</f>
        <v>Итого по локальной смете: ТП-522. Реконструкция. Замена 8 панелей в РУ-0,4 кВ.</v>
      </c>
      <c r="B257" s="55"/>
      <c r="C257" s="55"/>
      <c r="D257" s="55"/>
      <c r="E257" s="55"/>
      <c r="F257" s="55"/>
      <c r="G257" s="55"/>
      <c r="H257" s="53">
        <f>SUM(O33:O256)</f>
        <v>1599118.6900000002</v>
      </c>
      <c r="I257" s="54"/>
      <c r="J257" s="53">
        <f>SUM(P33:P256)</f>
        <v>1933636.37</v>
      </c>
      <c r="K257" s="54"/>
      <c r="AL257" s="34" t="str">
        <f>CONCATENATE("Итого по локальной смете: ",IF(Source!G159&lt;&gt;"Новая локальная смета", Source!G159, ""))</f>
        <v>Итого по локальной смете: ТП-522. Реконструкция. Замена 8 панелей в РУ-0,4 кВ.</v>
      </c>
    </row>
    <row r="258" spans="1:38" hidden="1" x14ac:dyDescent="0.2">
      <c r="A258" t="s">
        <v>288</v>
      </c>
      <c r="H258">
        <f>SUM(AC33:AC257)</f>
        <v>0</v>
      </c>
      <c r="J258">
        <f>SUM(AD33:AD257)</f>
        <v>0</v>
      </c>
    </row>
    <row r="259" spans="1:38" hidden="1" x14ac:dyDescent="0.2">
      <c r="A259" t="s">
        <v>289</v>
      </c>
      <c r="H259">
        <f>SUM(AE33:AE258)</f>
        <v>0</v>
      </c>
      <c r="J259">
        <f>SUM(AF33:AF258)</f>
        <v>0</v>
      </c>
    </row>
    <row r="261" spans="1:38" ht="15" x14ac:dyDescent="0.25">
      <c r="A261" s="55" t="str">
        <f>CONCATENATE("Итого по смете: ",IF(Source!G189&lt;&gt;"Новый объект", Source!G189, ""))</f>
        <v>Итого по смете: ТП-522. Реконструкция. Замена 8 панелей в РУ-0,4 кВ.</v>
      </c>
      <c r="B261" s="55"/>
      <c r="C261" s="55"/>
      <c r="D261" s="55"/>
      <c r="E261" s="55"/>
      <c r="F261" s="55"/>
      <c r="G261" s="55"/>
      <c r="H261" s="53">
        <f>SUM(O1:O260)</f>
        <v>1599118.6900000002</v>
      </c>
      <c r="I261" s="54"/>
      <c r="J261" s="53">
        <f>SUM(P1:P260)</f>
        <v>1933636.37</v>
      </c>
      <c r="K261" s="54"/>
      <c r="AL261" s="34" t="str">
        <f>CONCATENATE("Итого по смете: ",IF(Source!G189&lt;&gt;"Новый объект", Source!G189, ""))</f>
        <v>Итого по смете: ТП-522. Реконструкция. Замена 8 панелей в РУ-0,4 кВ.</v>
      </c>
    </row>
    <row r="262" spans="1:38" hidden="1" x14ac:dyDescent="0.2">
      <c r="A262" t="s">
        <v>288</v>
      </c>
      <c r="H262">
        <f>SUM(AC1:AC261)</f>
        <v>0</v>
      </c>
      <c r="J262">
        <f>SUM(AD1:AD261)</f>
        <v>0</v>
      </c>
    </row>
    <row r="263" spans="1:38" hidden="1" x14ac:dyDescent="0.2">
      <c r="A263" t="s">
        <v>289</v>
      </c>
      <c r="H263">
        <f>SUM(AE1:AE262)</f>
        <v>0</v>
      </c>
      <c r="J263">
        <f>SUM(AF1:AF262)</f>
        <v>0</v>
      </c>
    </row>
    <row r="264" spans="1:38" ht="14.25" x14ac:dyDescent="0.2">
      <c r="C264" s="49" t="str">
        <f>Source!H218</f>
        <v>Итого</v>
      </c>
      <c r="D264" s="49"/>
      <c r="E264" s="49"/>
      <c r="F264" s="49"/>
      <c r="G264" s="49"/>
      <c r="H264" s="49"/>
      <c r="I264" s="49"/>
      <c r="J264" s="50">
        <f>IF(Source!F218=0, "", Source!F218)</f>
        <v>1933636.37</v>
      </c>
      <c r="K264" s="50"/>
    </row>
    <row r="265" spans="1:38" ht="14.25" x14ac:dyDescent="0.2">
      <c r="C265" s="49" t="str">
        <f>Source!H219</f>
        <v>НДС 20%</v>
      </c>
      <c r="D265" s="49"/>
      <c r="E265" s="49"/>
      <c r="F265" s="49"/>
      <c r="G265" s="49"/>
      <c r="H265" s="49"/>
      <c r="I265" s="49"/>
      <c r="J265" s="50">
        <f>IF(Source!F219=0, "", Source!F219)</f>
        <v>386727.27</v>
      </c>
      <c r="K265" s="50"/>
    </row>
    <row r="266" spans="1:38" ht="22.5" customHeight="1" x14ac:dyDescent="0.25">
      <c r="C266" s="49" t="str">
        <f>Source!H220</f>
        <v>Итого с НДС</v>
      </c>
      <c r="D266" s="49"/>
      <c r="E266" s="49"/>
      <c r="F266" s="49"/>
      <c r="G266" s="49"/>
      <c r="H266" s="49"/>
      <c r="I266" s="49"/>
      <c r="J266" s="53">
        <f>IF(Source!F220=0, "", Source!F220)</f>
        <v>2320363.64</v>
      </c>
      <c r="K266" s="53"/>
    </row>
    <row r="269" spans="1:38" ht="14.25" x14ac:dyDescent="0.2">
      <c r="A269" s="51" t="s">
        <v>291</v>
      </c>
      <c r="B269" s="51"/>
      <c r="C269" s="35" t="str">
        <f>IF(Source!AC12&lt;&gt;"", Source!AC12," ")</f>
        <v>Зам.начальника ПТО</v>
      </c>
      <c r="D269" s="35"/>
      <c r="E269" s="35"/>
      <c r="F269" s="35"/>
      <c r="G269" s="35"/>
      <c r="H269" s="52" t="str">
        <f>IF(Source!AB12&lt;&gt;"", Source!AB12," ")</f>
        <v>Алиева И.Е.</v>
      </c>
      <c r="I269" s="52"/>
      <c r="J269" s="52"/>
      <c r="K269" s="52"/>
    </row>
    <row r="270" spans="1:38" ht="14.25" x14ac:dyDescent="0.2">
      <c r="A270" s="11"/>
      <c r="B270" s="11"/>
      <c r="C270" s="48" t="s">
        <v>292</v>
      </c>
      <c r="D270" s="48"/>
      <c r="E270" s="48"/>
      <c r="F270" s="48"/>
      <c r="G270" s="48"/>
      <c r="H270" s="11"/>
      <c r="I270" s="11"/>
      <c r="J270" s="11"/>
      <c r="K270" s="11"/>
    </row>
    <row r="271" spans="1:38" ht="14.2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38" ht="14.25" x14ac:dyDescent="0.2">
      <c r="A272" s="51" t="s">
        <v>293</v>
      </c>
      <c r="B272" s="51"/>
      <c r="C272" s="35" t="str">
        <f>IF(Source!AE12&lt;&gt;"", Source!AE12," ")</f>
        <v>Главный инженер</v>
      </c>
      <c r="D272" s="35"/>
      <c r="E272" s="35"/>
      <c r="F272" s="35"/>
      <c r="G272" s="35"/>
      <c r="H272" s="52" t="str">
        <f>IF(Source!AD12&lt;&gt;"", Source!AD12," ")</f>
        <v>Алексеев Е.В.</v>
      </c>
      <c r="I272" s="52"/>
      <c r="J272" s="52"/>
      <c r="K272" s="52"/>
    </row>
    <row r="273" spans="1:11" ht="14.25" x14ac:dyDescent="0.2">
      <c r="A273" s="11"/>
      <c r="B273" s="11"/>
      <c r="C273" s="48" t="s">
        <v>292</v>
      </c>
      <c r="D273" s="48"/>
      <c r="E273" s="48"/>
      <c r="F273" s="48"/>
      <c r="G273" s="48"/>
      <c r="H273" s="11"/>
      <c r="I273" s="11"/>
      <c r="J273" s="11"/>
      <c r="K273" s="11"/>
    </row>
  </sheetData>
  <mergeCells count="115"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8:H28"/>
    <mergeCell ref="A29:K29"/>
    <mergeCell ref="A33:K33"/>
    <mergeCell ref="A35:K35"/>
    <mergeCell ref="J45:K45"/>
    <mergeCell ref="H45:I45"/>
    <mergeCell ref="F22:H22"/>
    <mergeCell ref="F23:H23"/>
    <mergeCell ref="F24:H24"/>
    <mergeCell ref="F25:H25"/>
    <mergeCell ref="F26:H26"/>
    <mergeCell ref="F27:H27"/>
    <mergeCell ref="J86:K86"/>
    <mergeCell ref="H86:I86"/>
    <mergeCell ref="J97:K97"/>
    <mergeCell ref="H97:I97"/>
    <mergeCell ref="J107:K107"/>
    <mergeCell ref="H107:I107"/>
    <mergeCell ref="J55:K55"/>
    <mergeCell ref="H55:I55"/>
    <mergeCell ref="J64:K64"/>
    <mergeCell ref="H64:I64"/>
    <mergeCell ref="J75:K75"/>
    <mergeCell ref="H75:I75"/>
    <mergeCell ref="J146:K146"/>
    <mergeCell ref="H146:I146"/>
    <mergeCell ref="J156:K156"/>
    <mergeCell ref="H156:I156"/>
    <mergeCell ref="J158:K158"/>
    <mergeCell ref="H158:I158"/>
    <mergeCell ref="J118:K118"/>
    <mergeCell ref="H118:I118"/>
    <mergeCell ref="J128:K128"/>
    <mergeCell ref="H128:I128"/>
    <mergeCell ref="J136:K136"/>
    <mergeCell ref="H136:I136"/>
    <mergeCell ref="J180:K180"/>
    <mergeCell ref="H180:I180"/>
    <mergeCell ref="J186:K186"/>
    <mergeCell ref="H186:I186"/>
    <mergeCell ref="J192:K192"/>
    <mergeCell ref="H192:I192"/>
    <mergeCell ref="A158:G158"/>
    <mergeCell ref="A162:K162"/>
    <mergeCell ref="J168:K168"/>
    <mergeCell ref="H168:I168"/>
    <mergeCell ref="J174:K174"/>
    <mergeCell ref="H174:I174"/>
    <mergeCell ref="J216:K216"/>
    <mergeCell ref="H216:I216"/>
    <mergeCell ref="J222:K222"/>
    <mergeCell ref="H222:I222"/>
    <mergeCell ref="J228:K228"/>
    <mergeCell ref="H228:I228"/>
    <mergeCell ref="J198:K198"/>
    <mergeCell ref="H198:I198"/>
    <mergeCell ref="J204:K204"/>
    <mergeCell ref="H204:I204"/>
    <mergeCell ref="J210:K210"/>
    <mergeCell ref="H210:I210"/>
    <mergeCell ref="J240:K240"/>
    <mergeCell ref="H240:I240"/>
    <mergeCell ref="J243:K243"/>
    <mergeCell ref="H243:I243"/>
    <mergeCell ref="J245:K245"/>
    <mergeCell ref="H245:I245"/>
    <mergeCell ref="J230:K230"/>
    <mergeCell ref="H230:I230"/>
    <mergeCell ref="A230:G230"/>
    <mergeCell ref="A234:K234"/>
    <mergeCell ref="J237:K237"/>
    <mergeCell ref="H237:I237"/>
    <mergeCell ref="J253:K253"/>
    <mergeCell ref="H253:I253"/>
    <mergeCell ref="A253:G253"/>
    <mergeCell ref="J257:K257"/>
    <mergeCell ref="H257:I257"/>
    <mergeCell ref="A257:G257"/>
    <mergeCell ref="J247:K247"/>
    <mergeCell ref="H247:I247"/>
    <mergeCell ref="J249:K249"/>
    <mergeCell ref="H249:I249"/>
    <mergeCell ref="J251:K251"/>
    <mergeCell ref="H251:I251"/>
    <mergeCell ref="C273:G273"/>
    <mergeCell ref="C266:I266"/>
    <mergeCell ref="J266:K266"/>
    <mergeCell ref="A269:B269"/>
    <mergeCell ref="H269:K269"/>
    <mergeCell ref="C270:G270"/>
    <mergeCell ref="A272:B272"/>
    <mergeCell ref="H272:K272"/>
    <mergeCell ref="J261:K261"/>
    <mergeCell ref="H261:I261"/>
    <mergeCell ref="A261:G261"/>
    <mergeCell ref="C264:I264"/>
    <mergeCell ref="J264:K264"/>
    <mergeCell ref="C265:I265"/>
    <mergeCell ref="J265:K265"/>
  </mergeCells>
  <pageMargins left="0.4" right="0.2" top="0.2" bottom="0.4" header="0.2" footer="0.2"/>
  <pageSetup paperSize="9" scale="69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0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3.140625" bestFit="1" customWidth="1"/>
    <col min="8" max="8" width="8.7109375" bestFit="1" customWidth="1"/>
    <col min="9" max="9" width="10" bestFit="1" customWidth="1"/>
    <col min="10" max="10" width="13.140625" bestFit="1" customWidth="1"/>
    <col min="11" max="11" width="9.140625" bestFit="1" customWidth="1"/>
    <col min="12" max="12" width="13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89" t="s">
        <v>294</v>
      </c>
      <c r="J2" s="89"/>
      <c r="K2" s="89"/>
      <c r="L2" s="8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9" t="s">
        <v>295</v>
      </c>
      <c r="J3" s="89"/>
      <c r="K3" s="89"/>
      <c r="L3" s="8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9" t="s">
        <v>296</v>
      </c>
      <c r="J4" s="89"/>
      <c r="K4" s="89"/>
      <c r="L4" s="8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8" t="s">
        <v>297</v>
      </c>
      <c r="K6" s="78"/>
      <c r="L6" s="78"/>
    </row>
    <row r="7" spans="1:36" ht="14.25" x14ac:dyDescent="0.2">
      <c r="A7" s="11"/>
      <c r="B7" s="11"/>
      <c r="C7" s="11"/>
      <c r="D7" s="11"/>
      <c r="E7" s="11"/>
      <c r="F7" s="11"/>
      <c r="G7" s="11"/>
      <c r="H7" s="67" t="s">
        <v>298</v>
      </c>
      <c r="I7" s="77"/>
      <c r="J7" s="90" t="s">
        <v>299</v>
      </c>
      <c r="K7" s="90"/>
      <c r="L7" s="90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8" t="str">
        <f>IF(Source!AT15 &lt;&gt; "", Source!AT15, "")</f>
        <v/>
      </c>
      <c r="K8" s="78"/>
      <c r="L8" s="78"/>
    </row>
    <row r="9" spans="1:36" ht="14.25" x14ac:dyDescent="0.2">
      <c r="A9" s="11" t="s">
        <v>300</v>
      </c>
      <c r="B9" s="11"/>
      <c r="C9" s="60" t="str">
        <f>IF(Source!BA15 &lt;&gt; "", Source!BA15, IF(Source!AU15 &lt;&gt; "", Source!AU15, ""))</f>
        <v/>
      </c>
      <c r="D9" s="60"/>
      <c r="E9" s="60"/>
      <c r="F9" s="60"/>
      <c r="G9" s="60"/>
      <c r="H9" s="60"/>
      <c r="I9" s="10" t="s">
        <v>301</v>
      </c>
      <c r="J9" s="78"/>
      <c r="K9" s="78"/>
      <c r="L9" s="78"/>
    </row>
    <row r="10" spans="1:36" ht="14.25" x14ac:dyDescent="0.2">
      <c r="A10" s="11"/>
      <c r="B10" s="11"/>
      <c r="C10" s="48" t="s">
        <v>302</v>
      </c>
      <c r="D10" s="48"/>
      <c r="E10" s="48"/>
      <c r="F10" s="48"/>
      <c r="G10" s="48"/>
      <c r="H10" s="48"/>
      <c r="I10" s="11"/>
      <c r="J10" s="78" t="str">
        <f>IF(Source!AK15 &lt;&gt; "", Source!AK15, "")</f>
        <v/>
      </c>
      <c r="K10" s="78"/>
      <c r="L10" s="78"/>
    </row>
    <row r="11" spans="1:36" ht="14.25" x14ac:dyDescent="0.2">
      <c r="A11" s="11" t="s">
        <v>303</v>
      </c>
      <c r="B11" s="11"/>
      <c r="C11" s="60" t="str">
        <f>IF(Source!AX12&lt;&gt; "", Source!AX12, IF(Source!AJ12 &lt;&gt; "", Source!AJ12, ""))</f>
        <v>МУП "Троицкая электросеть", г. Москва, г. Троицк, ул. Лесная, д. 6.</v>
      </c>
      <c r="D11" s="60"/>
      <c r="E11" s="60"/>
      <c r="F11" s="60"/>
      <c r="G11" s="60"/>
      <c r="H11" s="60"/>
      <c r="I11" s="10" t="s">
        <v>301</v>
      </c>
      <c r="J11" s="78"/>
      <c r="K11" s="78"/>
      <c r="L11" s="78"/>
      <c r="AJ11" s="22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302</v>
      </c>
      <c r="D12" s="48"/>
      <c r="E12" s="48"/>
      <c r="F12" s="48"/>
      <c r="G12" s="48"/>
      <c r="H12" s="48"/>
      <c r="I12" s="11"/>
      <c r="J12" s="78" t="str">
        <f>IF(Source!AO15 &lt;&gt; "", Source!AO15, "")</f>
        <v/>
      </c>
      <c r="K12" s="78"/>
      <c r="L12" s="78"/>
    </row>
    <row r="13" spans="1:36" ht="14.25" x14ac:dyDescent="0.2">
      <c r="A13" s="11" t="s">
        <v>304</v>
      </c>
      <c r="B13" s="11"/>
      <c r="C13" s="60" t="str">
        <f>IF(Source!AY12&lt;&gt; "", Source!AY12, IF(Source!AN12 &lt;&gt; "", Source!AN12, ""))</f>
        <v/>
      </c>
      <c r="D13" s="60"/>
      <c r="E13" s="60"/>
      <c r="F13" s="60"/>
      <c r="G13" s="60"/>
      <c r="H13" s="60"/>
      <c r="I13" s="10" t="s">
        <v>301</v>
      </c>
      <c r="J13" s="78"/>
      <c r="K13" s="78"/>
      <c r="L13" s="78"/>
    </row>
    <row r="14" spans="1:36" ht="14.25" x14ac:dyDescent="0.2">
      <c r="A14" s="11"/>
      <c r="B14" s="11"/>
      <c r="C14" s="48" t="s">
        <v>302</v>
      </c>
      <c r="D14" s="48"/>
      <c r="E14" s="48"/>
      <c r="F14" s="48"/>
      <c r="G14" s="48"/>
      <c r="H14" s="48"/>
      <c r="I14" s="11"/>
      <c r="J14" s="78" t="str">
        <f>IF(Source!CO15 &lt;&gt; "", Source!CO15, "")</f>
        <v/>
      </c>
      <c r="K14" s="78"/>
      <c r="L14" s="78"/>
    </row>
    <row r="15" spans="1:36" ht="14.25" x14ac:dyDescent="0.2">
      <c r="A15" s="11" t="s">
        <v>305</v>
      </c>
      <c r="B15" s="11"/>
      <c r="C15" s="60" t="s">
        <v>4</v>
      </c>
      <c r="D15" s="60"/>
      <c r="E15" s="60"/>
      <c r="F15" s="60"/>
      <c r="G15" s="60"/>
      <c r="H15" s="60"/>
      <c r="I15" s="11"/>
      <c r="J15" s="78"/>
      <c r="K15" s="78"/>
      <c r="L15" s="78"/>
      <c r="AJ15" s="22" t="s">
        <v>4</v>
      </c>
    </row>
    <row r="16" spans="1:36" ht="14.25" x14ac:dyDescent="0.2">
      <c r="A16" s="11"/>
      <c r="B16" s="11"/>
      <c r="C16" s="48" t="s">
        <v>306</v>
      </c>
      <c r="D16" s="48"/>
      <c r="E16" s="48"/>
      <c r="F16" s="48"/>
      <c r="G16" s="48"/>
      <c r="H16" s="48"/>
      <c r="I16" s="11"/>
      <c r="J16" s="78" t="str">
        <f>IF(Source!CP15 &lt;&gt; "", Source!CP15, "")</f>
        <v/>
      </c>
      <c r="K16" s="78"/>
      <c r="L16" s="78"/>
    </row>
    <row r="17" spans="1:36" ht="14.25" x14ac:dyDescent="0.2">
      <c r="A17" s="11" t="s">
        <v>307</v>
      </c>
      <c r="B17" s="11"/>
      <c r="C17" s="66" t="str">
        <f>IF(Source!G12&lt;&gt;"Новый объект", Source!G12, "")</f>
        <v>ТП-522. Реконструкция. Замена 8 панелей в РУ-0,4 кВ.</v>
      </c>
      <c r="D17" s="66"/>
      <c r="E17" s="66"/>
      <c r="F17" s="66"/>
      <c r="G17" s="66"/>
      <c r="H17" s="66"/>
      <c r="I17" s="11"/>
      <c r="J17" s="78"/>
      <c r="K17" s="78"/>
      <c r="L17" s="78"/>
      <c r="AJ17" s="42" t="str">
        <f>IF(Source!G12&lt;&gt;"Новый объект", Source!G12, "")</f>
        <v>ТП-522. Реконструкция. Замена 8 панелей в РУ-0,4 кВ.</v>
      </c>
    </row>
    <row r="18" spans="1:36" ht="14.25" x14ac:dyDescent="0.2">
      <c r="A18" s="11"/>
      <c r="B18" s="11"/>
      <c r="C18" s="48" t="s">
        <v>308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7" t="s">
        <v>309</v>
      </c>
      <c r="H19" s="67"/>
      <c r="I19" s="87"/>
      <c r="J19" s="78" t="str">
        <f>IF(Source!CQ15 &lt;&gt; "", Source!CQ15, "")</f>
        <v/>
      </c>
      <c r="K19" s="78"/>
      <c r="L19" s="78"/>
    </row>
    <row r="20" spans="1:36" ht="14.25" x14ac:dyDescent="0.2">
      <c r="A20" s="11"/>
      <c r="B20" s="11"/>
      <c r="C20" s="11"/>
      <c r="D20" s="11"/>
      <c r="E20" s="11"/>
      <c r="F20" s="11"/>
      <c r="G20" s="67" t="s">
        <v>310</v>
      </c>
      <c r="H20" s="77"/>
      <c r="I20" s="36" t="s">
        <v>311</v>
      </c>
      <c r="J20" s="78" t="str">
        <f>IF(Source!CR15 &lt;&gt; "", Source!CR15, "")</f>
        <v/>
      </c>
      <c r="K20" s="78"/>
      <c r="L20" s="78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312</v>
      </c>
      <c r="J21" s="88" t="str">
        <f>IF(Source!CS15 &lt;&gt; 0, Source!CS15, "")</f>
        <v/>
      </c>
      <c r="K21" s="88"/>
      <c r="L21" s="88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7" t="s">
        <v>313</v>
      </c>
      <c r="I22" s="77"/>
      <c r="J22" s="78" t="str">
        <f>IF(Source!CT15 &lt;&gt; "", Source!CT15, "")</f>
        <v/>
      </c>
      <c r="K22" s="78"/>
      <c r="L22" s="78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9" t="s">
        <v>314</v>
      </c>
      <c r="H24" s="82" t="s">
        <v>315</v>
      </c>
      <c r="I24" s="82" t="s">
        <v>316</v>
      </c>
      <c r="J24" s="84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0"/>
      <c r="H25" s="83"/>
      <c r="I25" s="85"/>
      <c r="J25" s="86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1"/>
      <c r="H26" s="83"/>
      <c r="I26" s="38" t="s">
        <v>317</v>
      </c>
      <c r="J26" s="39" t="s">
        <v>318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5" t="s">
        <v>319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8" x14ac:dyDescent="0.25">
      <c r="A30" s="75" t="s">
        <v>320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321</v>
      </c>
      <c r="B32" s="11"/>
      <c r="C32" s="11"/>
      <c r="D32" s="11"/>
      <c r="E32" s="11"/>
      <c r="F32" s="11"/>
      <c r="G32" s="11"/>
      <c r="H32" s="76">
        <f>(Source!F187/1000)</f>
        <v>1933.6363700000002</v>
      </c>
      <c r="I32" s="76"/>
      <c r="J32" s="11" t="s">
        <v>322</v>
      </c>
      <c r="K32" s="11"/>
      <c r="L32" s="11"/>
    </row>
    <row r="33" spans="1:37" ht="14.25" x14ac:dyDescent="0.2">
      <c r="A33" s="60" t="s">
        <v>277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AK33" s="22" t="s">
        <v>277</v>
      </c>
    </row>
    <row r="34" spans="1:37" ht="14.25" x14ac:dyDescent="0.2">
      <c r="A34" s="74" t="s">
        <v>323</v>
      </c>
      <c r="B34" s="74"/>
      <c r="C34" s="74" t="s">
        <v>267</v>
      </c>
      <c r="D34" s="74" t="s">
        <v>268</v>
      </c>
      <c r="E34" s="74" t="s">
        <v>269</v>
      </c>
      <c r="F34" s="74" t="s">
        <v>270</v>
      </c>
      <c r="G34" s="74" t="s">
        <v>271</v>
      </c>
      <c r="H34" s="71" t="s">
        <v>272</v>
      </c>
      <c r="I34" s="71" t="s">
        <v>273</v>
      </c>
      <c r="J34" s="74" t="s">
        <v>274</v>
      </c>
      <c r="K34" s="74" t="s">
        <v>275</v>
      </c>
      <c r="L34" s="74" t="s">
        <v>276</v>
      </c>
    </row>
    <row r="35" spans="1:37" x14ac:dyDescent="0.2">
      <c r="A35" s="71" t="s">
        <v>324</v>
      </c>
      <c r="B35" s="71" t="s">
        <v>325</v>
      </c>
      <c r="C35" s="74"/>
      <c r="D35" s="74"/>
      <c r="E35" s="74"/>
      <c r="F35" s="74"/>
      <c r="G35" s="74"/>
      <c r="H35" s="72"/>
      <c r="I35" s="72"/>
      <c r="J35" s="74"/>
      <c r="K35" s="74"/>
      <c r="L35" s="74"/>
    </row>
    <row r="36" spans="1:37" x14ac:dyDescent="0.2">
      <c r="A36" s="72"/>
      <c r="B36" s="72"/>
      <c r="C36" s="74"/>
      <c r="D36" s="74"/>
      <c r="E36" s="74"/>
      <c r="F36" s="74"/>
      <c r="G36" s="74"/>
      <c r="H36" s="72"/>
      <c r="I36" s="72"/>
      <c r="J36" s="74"/>
      <c r="K36" s="74"/>
      <c r="L36" s="74"/>
    </row>
    <row r="37" spans="1:37" x14ac:dyDescent="0.2">
      <c r="A37" s="72"/>
      <c r="B37" s="72"/>
      <c r="C37" s="74"/>
      <c r="D37" s="74"/>
      <c r="E37" s="74"/>
      <c r="F37" s="74"/>
      <c r="G37" s="74"/>
      <c r="H37" s="72"/>
      <c r="I37" s="72"/>
      <c r="J37" s="74"/>
      <c r="K37" s="74"/>
      <c r="L37" s="74"/>
    </row>
    <row r="38" spans="1:37" x14ac:dyDescent="0.2">
      <c r="A38" s="72"/>
      <c r="B38" s="72"/>
      <c r="C38" s="74"/>
      <c r="D38" s="74"/>
      <c r="E38" s="74"/>
      <c r="F38" s="74"/>
      <c r="G38" s="74"/>
      <c r="H38" s="72"/>
      <c r="I38" s="72"/>
      <c r="J38" s="74"/>
      <c r="K38" s="74"/>
      <c r="L38" s="74"/>
    </row>
    <row r="39" spans="1:37" x14ac:dyDescent="0.2">
      <c r="A39" s="73"/>
      <c r="B39" s="73"/>
      <c r="C39" s="74"/>
      <c r="D39" s="74"/>
      <c r="E39" s="74"/>
      <c r="F39" s="74"/>
      <c r="G39" s="74"/>
      <c r="H39" s="73"/>
      <c r="I39" s="73"/>
      <c r="J39" s="74"/>
      <c r="K39" s="74"/>
      <c r="L39" s="74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7" t="str">
        <f>CONCATENATE("Раздел: ",IF(Source!G24&lt;&gt;"Новый раздел", Source!G24, ""))</f>
        <v>Раздел: Электромонтажные работы.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37" ht="42.75" x14ac:dyDescent="0.2">
      <c r="A43" s="23">
        <v>1</v>
      </c>
      <c r="B43" s="23" t="str">
        <f>Source!E28</f>
        <v>1</v>
      </c>
      <c r="C43" s="24" t="str">
        <f>Source!F28</f>
        <v>4.8-64-3</v>
      </c>
      <c r="D43" s="24" t="s">
        <v>25</v>
      </c>
      <c r="E43" s="25" t="str">
        <f>Source!H28</f>
        <v>т</v>
      </c>
      <c r="F43" s="10">
        <f>Source!I28</f>
        <v>0.312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302.27999999999997</v>
      </c>
      <c r="R43">
        <f>Source!X28</f>
        <v>5067.58</v>
      </c>
      <c r="S43">
        <f>ROUND((Source!DO28/100)*ROUND((ROUND((Source!AF28*Source!AV28*Source!I28),2)),2), 2)</f>
        <v>177.66</v>
      </c>
      <c r="T43">
        <f>Source!Y28</f>
        <v>2698.32</v>
      </c>
      <c r="U43">
        <f>ROUND((175/100)*ROUND((ROUND((Source!AE28*Source!AV28*Source!I28),2)),2), 2)</f>
        <v>45.61</v>
      </c>
      <c r="V43">
        <f>ROUND((157/100)*ROUND(ROUND((ROUND((Source!AE28*Source!AV28*Source!I28),2)*Source!BS28),2), 2), 2)</f>
        <v>1015.49</v>
      </c>
    </row>
    <row r="44" spans="1:37" ht="14.25" x14ac:dyDescent="0.2">
      <c r="A44" s="23"/>
      <c r="B44" s="23"/>
      <c r="C44" s="24"/>
      <c r="D44" s="24" t="s">
        <v>278</v>
      </c>
      <c r="E44" s="25"/>
      <c r="F44" s="10"/>
      <c r="G44" s="27">
        <f>Source!AO28</f>
        <v>676.43</v>
      </c>
      <c r="H44" s="26" t="str">
        <f>Source!DG28</f>
        <v>)*1,2</v>
      </c>
      <c r="I44" s="10">
        <f>Source!AV28</f>
        <v>1.0469999999999999</v>
      </c>
      <c r="J44" s="28">
        <f>ROUND((ROUND((Source!AF28*Source!AV28*Source!I28),2)),2)</f>
        <v>265.16000000000003</v>
      </c>
      <c r="K44" s="10">
        <f>IF(Source!BA28&lt;&gt; 0, Source!BA28, 1)</f>
        <v>24.82</v>
      </c>
      <c r="L44" s="28">
        <f>Source!S28</f>
        <v>6581.27</v>
      </c>
      <c r="W44">
        <f>J44</f>
        <v>265.16000000000003</v>
      </c>
    </row>
    <row r="45" spans="1:37" ht="14.25" x14ac:dyDescent="0.2">
      <c r="A45" s="23"/>
      <c r="B45" s="23"/>
      <c r="C45" s="24"/>
      <c r="D45" s="24" t="s">
        <v>279</v>
      </c>
      <c r="E45" s="25"/>
      <c r="F45" s="10"/>
      <c r="G45" s="27">
        <f>Source!AM28</f>
        <v>702.69</v>
      </c>
      <c r="H45" s="26" t="str">
        <f>Source!DE28</f>
        <v>)*1,2</v>
      </c>
      <c r="I45" s="10">
        <f>Source!AV28</f>
        <v>1.0469999999999999</v>
      </c>
      <c r="J45" s="28">
        <f>(ROUND((ROUND((((Source!ET28*1.2))*Source!AV28*Source!I28),2)),2)+ROUND((ROUND(((Source!AE28-((Source!EU28*1.2)))*Source!AV28*Source!I28),2)),2))</f>
        <v>275.45</v>
      </c>
      <c r="K45" s="10">
        <f>IF(Source!BB28&lt;&gt; 0, Source!BB28, 1)</f>
        <v>8.2100000000000009</v>
      </c>
      <c r="L45" s="28">
        <f>Source!Q28</f>
        <v>2261.44</v>
      </c>
    </row>
    <row r="46" spans="1:37" ht="14.25" x14ac:dyDescent="0.2">
      <c r="A46" s="23"/>
      <c r="B46" s="23"/>
      <c r="C46" s="24"/>
      <c r="D46" s="24" t="s">
        <v>280</v>
      </c>
      <c r="E46" s="25"/>
      <c r="F46" s="10"/>
      <c r="G46" s="27">
        <f>Source!AN28</f>
        <v>66.48</v>
      </c>
      <c r="H46" s="26" t="str">
        <f>Source!DF28</f>
        <v>)*1,2</v>
      </c>
      <c r="I46" s="10">
        <f>Source!AV28</f>
        <v>1.0469999999999999</v>
      </c>
      <c r="J46" s="29">
        <f>ROUND((ROUND((Source!AE28*Source!AV28*Source!I28),2)),2)</f>
        <v>26.06</v>
      </c>
      <c r="K46" s="10">
        <f>IF(Source!BS28&lt;&gt; 0, Source!BS28, 1)</f>
        <v>24.82</v>
      </c>
      <c r="L46" s="29">
        <f>Source!R28</f>
        <v>646.80999999999995</v>
      </c>
      <c r="W46">
        <f>J46</f>
        <v>26.06</v>
      </c>
    </row>
    <row r="47" spans="1:37" ht="14.25" x14ac:dyDescent="0.2">
      <c r="A47" s="23"/>
      <c r="B47" s="23"/>
      <c r="C47" s="24"/>
      <c r="D47" s="24" t="s">
        <v>281</v>
      </c>
      <c r="E47" s="25"/>
      <c r="F47" s="10"/>
      <c r="G47" s="27">
        <f>Source!AL28</f>
        <v>5453</v>
      </c>
      <c r="H47" s="26" t="str">
        <f>Source!DD28</f>
        <v/>
      </c>
      <c r="I47" s="10">
        <f>Source!AW28</f>
        <v>1</v>
      </c>
      <c r="J47" s="28">
        <f>ROUND((ROUND((Source!AC28*Source!AW28*Source!I28),2)),2)</f>
        <v>1701.34</v>
      </c>
      <c r="K47" s="10">
        <f>IF(Source!BC28&lt;&gt; 0, Source!BC28, 1)</f>
        <v>5.29</v>
      </c>
      <c r="L47" s="28">
        <f>Source!P28</f>
        <v>9000.09</v>
      </c>
    </row>
    <row r="48" spans="1:37" ht="14.25" x14ac:dyDescent="0.2">
      <c r="A48" s="23"/>
      <c r="B48" s="23"/>
      <c r="C48" s="24"/>
      <c r="D48" s="24" t="s">
        <v>282</v>
      </c>
      <c r="E48" s="25" t="s">
        <v>283</v>
      </c>
      <c r="F48" s="10">
        <f>Source!DN28</f>
        <v>114</v>
      </c>
      <c r="G48" s="27"/>
      <c r="H48" s="26"/>
      <c r="I48" s="10"/>
      <c r="J48" s="28">
        <f>SUM(Q43:Q47)</f>
        <v>302.27999999999997</v>
      </c>
      <c r="K48" s="10">
        <f>Source!BZ28</f>
        <v>77</v>
      </c>
      <c r="L48" s="28">
        <f>SUM(R43:R47)</f>
        <v>5067.58</v>
      </c>
    </row>
    <row r="49" spans="1:27" ht="14.25" x14ac:dyDescent="0.2">
      <c r="A49" s="23"/>
      <c r="B49" s="23"/>
      <c r="C49" s="24"/>
      <c r="D49" s="24" t="s">
        <v>284</v>
      </c>
      <c r="E49" s="25" t="s">
        <v>283</v>
      </c>
      <c r="F49" s="10">
        <f>Source!DO28</f>
        <v>67</v>
      </c>
      <c r="G49" s="27"/>
      <c r="H49" s="26"/>
      <c r="I49" s="10"/>
      <c r="J49" s="28">
        <f>SUM(S43:S48)</f>
        <v>177.66</v>
      </c>
      <c r="K49" s="10">
        <f>Source!CA28</f>
        <v>41</v>
      </c>
      <c r="L49" s="28">
        <f>SUM(T43:T48)</f>
        <v>2698.32</v>
      </c>
    </row>
    <row r="50" spans="1:27" ht="14.25" x14ac:dyDescent="0.2">
      <c r="A50" s="23"/>
      <c r="B50" s="23"/>
      <c r="C50" s="24"/>
      <c r="D50" s="24" t="s">
        <v>285</v>
      </c>
      <c r="E50" s="25" t="s">
        <v>283</v>
      </c>
      <c r="F50" s="10">
        <f>175</f>
        <v>175</v>
      </c>
      <c r="G50" s="27"/>
      <c r="H50" s="26"/>
      <c r="I50" s="10"/>
      <c r="J50" s="28">
        <f>SUM(U43:U49)</f>
        <v>45.61</v>
      </c>
      <c r="K50" s="10">
        <f>157</f>
        <v>157</v>
      </c>
      <c r="L50" s="28">
        <f>SUM(V43:V49)</f>
        <v>1015.49</v>
      </c>
    </row>
    <row r="51" spans="1:27" ht="14.25" x14ac:dyDescent="0.2">
      <c r="A51" s="23"/>
      <c r="B51" s="23"/>
      <c r="C51" s="24"/>
      <c r="D51" s="24" t="s">
        <v>286</v>
      </c>
      <c r="E51" s="25" t="s">
        <v>287</v>
      </c>
      <c r="F51" s="10">
        <f>Source!AQ28</f>
        <v>53.6</v>
      </c>
      <c r="G51" s="27"/>
      <c r="H51" s="26" t="str">
        <f>Source!DI28</f>
        <v>)*1,2</v>
      </c>
      <c r="I51" s="10">
        <f>Source!AV28</f>
        <v>1.0469999999999999</v>
      </c>
      <c r="J51" s="28">
        <f>Source!U28</f>
        <v>21.011028479999997</v>
      </c>
      <c r="K51" s="10"/>
      <c r="L51" s="28"/>
    </row>
    <row r="52" spans="1:27" ht="15" x14ac:dyDescent="0.25">
      <c r="A52" s="31"/>
      <c r="B52" s="31"/>
      <c r="C52" s="31"/>
      <c r="D52" s="31"/>
      <c r="E52" s="31"/>
      <c r="F52" s="31"/>
      <c r="G52" s="31"/>
      <c r="H52" s="31"/>
      <c r="I52" s="56">
        <f>J44+J45+J47+J48+J49+J50</f>
        <v>2767.4999999999995</v>
      </c>
      <c r="J52" s="56"/>
      <c r="K52" s="56">
        <f>L44+L45+L47+L48+L49+L50</f>
        <v>26624.190000000006</v>
      </c>
      <c r="L52" s="56"/>
      <c r="O52" s="30">
        <f>J44+J45+J47+J48+J49+J50</f>
        <v>2767.4999999999995</v>
      </c>
      <c r="P52" s="30">
        <f>L44+L45+L47+L48+L49+L50</f>
        <v>26624.190000000006</v>
      </c>
      <c r="X52">
        <f>IF(Source!BI28&lt;=1,J44+J45+J47+J48+J49+J50-0, 0)</f>
        <v>0</v>
      </c>
      <c r="Y52">
        <f>IF(Source!BI28=2,J44+J45+J47+J48+J49+J50-0, 0)</f>
        <v>2767.4999999999995</v>
      </c>
      <c r="Z52">
        <f>IF(Source!BI28=3,J44+J45+J47+J48+J49+J50-0, 0)</f>
        <v>0</v>
      </c>
      <c r="AA52">
        <f>IF(Source!BI28=4,J44+J45+J47+J48+J49+J50,0)</f>
        <v>0</v>
      </c>
    </row>
    <row r="53" spans="1:27" ht="128.25" x14ac:dyDescent="0.2">
      <c r="A53" s="23">
        <v>2</v>
      </c>
      <c r="B53" s="23" t="str">
        <f>Source!E29</f>
        <v>2</v>
      </c>
      <c r="C53" s="24" t="str">
        <f>Source!F29</f>
        <v>4.8-239-7</v>
      </c>
      <c r="D53" s="24" t="s">
        <v>35</v>
      </c>
      <c r="E53" s="25" t="str">
        <f>Source!H29</f>
        <v>шт.</v>
      </c>
      <c r="F53" s="10">
        <f>Source!I29</f>
        <v>8</v>
      </c>
      <c r="G53" s="27"/>
      <c r="H53" s="26"/>
      <c r="I53" s="10"/>
      <c r="J53" s="28"/>
      <c r="K53" s="10"/>
      <c r="L53" s="28"/>
      <c r="Q53">
        <f>ROUND((Source!DN29/100)*ROUND((ROUND((Source!AF29*Source!AV29*Source!I29),2)),2), 2)</f>
        <v>613.71</v>
      </c>
      <c r="R53">
        <f>Source!X29</f>
        <v>8456.25</v>
      </c>
      <c r="S53">
        <f>ROUND((Source!DO29/100)*ROUND((ROUND((Source!AF29*Source!AV29*Source!I29),2)),2), 2)</f>
        <v>360.69</v>
      </c>
      <c r="T53">
        <f>Source!Y29</f>
        <v>4502.68</v>
      </c>
      <c r="U53">
        <f>ROUND((175/100)*ROUND((ROUND((Source!AE29*Source!AV29*Source!I29),2)),2), 2)</f>
        <v>170.45</v>
      </c>
      <c r="V53">
        <f>ROUND((157/100)*ROUND(ROUND((ROUND((Source!AE29*Source!AV29*Source!I29),2)*Source!BS29),2), 2), 2)</f>
        <v>3119.53</v>
      </c>
    </row>
    <row r="54" spans="1:27" ht="14.25" x14ac:dyDescent="0.2">
      <c r="A54" s="23"/>
      <c r="B54" s="23"/>
      <c r="C54" s="24"/>
      <c r="D54" s="24" t="s">
        <v>278</v>
      </c>
      <c r="E54" s="25"/>
      <c r="F54" s="10"/>
      <c r="G54" s="27">
        <f>Source!AO29</f>
        <v>53.56</v>
      </c>
      <c r="H54" s="26" t="str">
        <f>Source!DG29</f>
        <v>)*1,2</v>
      </c>
      <c r="I54" s="10">
        <f>Source!AV29</f>
        <v>1.0469999999999999</v>
      </c>
      <c r="J54" s="28">
        <f>ROUND((ROUND((Source!AF29*Source!AV29*Source!I29),2)),2)</f>
        <v>538.34</v>
      </c>
      <c r="K54" s="10">
        <f>IF(Source!BA29&lt;&gt; 0, Source!BA29, 1)</f>
        <v>20.399999999999999</v>
      </c>
      <c r="L54" s="28">
        <f>Source!S29</f>
        <v>10982.14</v>
      </c>
      <c r="W54">
        <f>J54</f>
        <v>538.34</v>
      </c>
    </row>
    <row r="55" spans="1:27" ht="14.25" x14ac:dyDescent="0.2">
      <c r="A55" s="23"/>
      <c r="B55" s="23"/>
      <c r="C55" s="24"/>
      <c r="D55" s="24" t="s">
        <v>279</v>
      </c>
      <c r="E55" s="25"/>
      <c r="F55" s="10"/>
      <c r="G55" s="27">
        <f>Source!AM29</f>
        <v>70.38</v>
      </c>
      <c r="H55" s="26" t="str">
        <f>Source!DE29</f>
        <v>)*1,2</v>
      </c>
      <c r="I55" s="10">
        <f>Source!AV29</f>
        <v>1.0469999999999999</v>
      </c>
      <c r="J55" s="28">
        <f>(ROUND((ROUND((((Source!ET29*1.2))*Source!AV29*Source!I29),2)),2)+ROUND((ROUND(((Source!AE29-((Source!EU29*1.2)))*Source!AV29*Source!I29),2)),2))</f>
        <v>707.4</v>
      </c>
      <c r="K55" s="10">
        <f>IF(Source!BB29&lt;&gt; 0, Source!BB29, 1)</f>
        <v>7.08</v>
      </c>
      <c r="L55" s="28">
        <f>Source!Q29</f>
        <v>5008.3900000000003</v>
      </c>
    </row>
    <row r="56" spans="1:27" ht="14.25" x14ac:dyDescent="0.2">
      <c r="A56" s="23"/>
      <c r="B56" s="23"/>
      <c r="C56" s="24"/>
      <c r="D56" s="24" t="s">
        <v>280</v>
      </c>
      <c r="E56" s="25"/>
      <c r="F56" s="10"/>
      <c r="G56" s="27">
        <f>Source!AN29</f>
        <v>9.69</v>
      </c>
      <c r="H56" s="26" t="str">
        <f>Source!DF29</f>
        <v>)*1,2</v>
      </c>
      <c r="I56" s="10">
        <f>Source!AV29</f>
        <v>1.0469999999999999</v>
      </c>
      <c r="J56" s="29">
        <f>ROUND((ROUND((Source!AE29*Source!AV29*Source!I29),2)),2)</f>
        <v>97.4</v>
      </c>
      <c r="K56" s="10">
        <f>IF(Source!BS29&lt;&gt; 0, Source!BS29, 1)</f>
        <v>20.399999999999999</v>
      </c>
      <c r="L56" s="29">
        <f>Source!R29</f>
        <v>1986.96</v>
      </c>
      <c r="W56">
        <f>J56</f>
        <v>97.4</v>
      </c>
    </row>
    <row r="57" spans="1:27" ht="14.25" x14ac:dyDescent="0.2">
      <c r="A57" s="23"/>
      <c r="B57" s="23"/>
      <c r="C57" s="24"/>
      <c r="D57" s="24" t="s">
        <v>281</v>
      </c>
      <c r="E57" s="25"/>
      <c r="F57" s="10"/>
      <c r="G57" s="27">
        <f>Source!AL29</f>
        <v>153.30000000000001</v>
      </c>
      <c r="H57" s="26" t="str">
        <f>Source!DD29</f>
        <v/>
      </c>
      <c r="I57" s="10">
        <f>Source!AW29</f>
        <v>1</v>
      </c>
      <c r="J57" s="28">
        <f>ROUND((ROUND((Source!AC29*Source!AW29*Source!I29),2)),2)</f>
        <v>1226.4000000000001</v>
      </c>
      <c r="K57" s="10">
        <f>IF(Source!BC29&lt;&gt; 0, Source!BC29, 1)</f>
        <v>4.9400000000000004</v>
      </c>
      <c r="L57" s="28">
        <f>Source!P29</f>
        <v>6058.42</v>
      </c>
    </row>
    <row r="58" spans="1:27" ht="14.25" x14ac:dyDescent="0.2">
      <c r="A58" s="23"/>
      <c r="B58" s="23"/>
      <c r="C58" s="24"/>
      <c r="D58" s="24" t="s">
        <v>282</v>
      </c>
      <c r="E58" s="25" t="s">
        <v>283</v>
      </c>
      <c r="F58" s="10">
        <f>Source!DN29</f>
        <v>114</v>
      </c>
      <c r="G58" s="27"/>
      <c r="H58" s="26"/>
      <c r="I58" s="10"/>
      <c r="J58" s="28">
        <f>SUM(Q53:Q57)</f>
        <v>613.71</v>
      </c>
      <c r="K58" s="10">
        <f>Source!BZ29</f>
        <v>77</v>
      </c>
      <c r="L58" s="28">
        <f>SUM(R53:R57)</f>
        <v>8456.25</v>
      </c>
    </row>
    <row r="59" spans="1:27" ht="14.25" x14ac:dyDescent="0.2">
      <c r="A59" s="23"/>
      <c r="B59" s="23"/>
      <c r="C59" s="24"/>
      <c r="D59" s="24" t="s">
        <v>284</v>
      </c>
      <c r="E59" s="25" t="s">
        <v>283</v>
      </c>
      <c r="F59" s="10">
        <f>Source!DO29</f>
        <v>67</v>
      </c>
      <c r="G59" s="27"/>
      <c r="H59" s="26"/>
      <c r="I59" s="10"/>
      <c r="J59" s="28">
        <f>SUM(S53:S58)</f>
        <v>360.69</v>
      </c>
      <c r="K59" s="10">
        <f>Source!CA29</f>
        <v>41</v>
      </c>
      <c r="L59" s="28">
        <f>SUM(T53:T58)</f>
        <v>4502.68</v>
      </c>
    </row>
    <row r="60" spans="1:27" ht="14.25" x14ac:dyDescent="0.2">
      <c r="A60" s="23"/>
      <c r="B60" s="23"/>
      <c r="C60" s="24"/>
      <c r="D60" s="24" t="s">
        <v>285</v>
      </c>
      <c r="E60" s="25" t="s">
        <v>283</v>
      </c>
      <c r="F60" s="10">
        <f>175</f>
        <v>175</v>
      </c>
      <c r="G60" s="27"/>
      <c r="H60" s="26"/>
      <c r="I60" s="10"/>
      <c r="J60" s="28">
        <f>SUM(U53:U59)</f>
        <v>170.45</v>
      </c>
      <c r="K60" s="10">
        <f>157</f>
        <v>157</v>
      </c>
      <c r="L60" s="28">
        <f>SUM(V53:V59)</f>
        <v>3119.53</v>
      </c>
    </row>
    <row r="61" spans="1:27" ht="14.25" x14ac:dyDescent="0.2">
      <c r="A61" s="23"/>
      <c r="B61" s="23"/>
      <c r="C61" s="24"/>
      <c r="D61" s="24" t="s">
        <v>286</v>
      </c>
      <c r="E61" s="25" t="s">
        <v>287</v>
      </c>
      <c r="F61" s="10">
        <f>Source!AQ29</f>
        <v>4.12</v>
      </c>
      <c r="G61" s="27"/>
      <c r="H61" s="26" t="str">
        <f>Source!DI29</f>
        <v>)*1,2</v>
      </c>
      <c r="I61" s="10">
        <f>Source!AV29</f>
        <v>1.0469999999999999</v>
      </c>
      <c r="J61" s="28">
        <f>Source!U29</f>
        <v>41.410943999999994</v>
      </c>
      <c r="K61" s="10"/>
      <c r="L61" s="28"/>
    </row>
    <row r="62" spans="1:27" ht="15" x14ac:dyDescent="0.25">
      <c r="A62" s="31"/>
      <c r="B62" s="31"/>
      <c r="C62" s="31"/>
      <c r="D62" s="31"/>
      <c r="E62" s="31"/>
      <c r="F62" s="31"/>
      <c r="G62" s="31"/>
      <c r="H62" s="31"/>
      <c r="I62" s="56">
        <f>J54+J55+J57+J58+J59+J60</f>
        <v>3616.9900000000002</v>
      </c>
      <c r="J62" s="56"/>
      <c r="K62" s="56">
        <f>L54+L55+L57+L58+L59+L60</f>
        <v>38127.409999999996</v>
      </c>
      <c r="L62" s="56"/>
      <c r="O62" s="30">
        <f>J54+J55+J57+J58+J59+J60</f>
        <v>3616.9900000000002</v>
      </c>
      <c r="P62" s="30">
        <f>L54+L55+L57+L58+L59+L60</f>
        <v>38127.409999999996</v>
      </c>
      <c r="X62">
        <f>IF(Source!BI29&lt;=1,J54+J55+J57+J58+J59+J60-0, 0)</f>
        <v>0</v>
      </c>
      <c r="Y62">
        <f>IF(Source!BI29=2,J54+J55+J57+J58+J59+J60-0, 0)</f>
        <v>3616.9900000000002</v>
      </c>
      <c r="Z62">
        <f>IF(Source!BI29=3,J54+J55+J57+J58+J59+J60-0, 0)</f>
        <v>0</v>
      </c>
      <c r="AA62">
        <f>IF(Source!BI29=4,J54+J55+J57+J58+J59+J60,0)</f>
        <v>0</v>
      </c>
    </row>
    <row r="63" spans="1:27" ht="128.25" x14ac:dyDescent="0.2">
      <c r="A63" s="23">
        <v>3</v>
      </c>
      <c r="B63" s="23" t="str">
        <f>Source!E30</f>
        <v>3</v>
      </c>
      <c r="C63" s="24" t="str">
        <f>Source!F30</f>
        <v>4.8-239-7</v>
      </c>
      <c r="D63" s="24" t="s">
        <v>41</v>
      </c>
      <c r="E63" s="25" t="str">
        <f>Source!H30</f>
        <v>шт.</v>
      </c>
      <c r="F63" s="10">
        <f>Source!I30</f>
        <v>9</v>
      </c>
      <c r="G63" s="27"/>
      <c r="H63" s="26"/>
      <c r="I63" s="10"/>
      <c r="J63" s="28"/>
      <c r="K63" s="10"/>
      <c r="L63" s="28"/>
      <c r="Q63">
        <f>ROUND((Source!DN30/100)*ROUND((ROUND((Source!AF30*Source!AV30*Source!I30),2)),2), 2)</f>
        <v>207.13</v>
      </c>
      <c r="R63">
        <f>Source!X30</f>
        <v>2853.99</v>
      </c>
      <c r="S63">
        <f>ROUND((Source!DO30/100)*ROUND((ROUND((Source!AF30*Source!AV30*Source!I30),2)),2), 2)</f>
        <v>121.73</v>
      </c>
      <c r="T63">
        <f>Source!Y30</f>
        <v>1519.66</v>
      </c>
      <c r="U63">
        <f>ROUND((175/100)*ROUND((ROUND((Source!AE30*Source!AV30*Source!I30),2)),2), 2)</f>
        <v>57.52</v>
      </c>
      <c r="V63">
        <f>ROUND((157/100)*ROUND(ROUND((ROUND((Source!AE30*Source!AV30*Source!I30),2)*Source!BS30),2), 2), 2)</f>
        <v>1052.76</v>
      </c>
    </row>
    <row r="64" spans="1:27" ht="28.5" x14ac:dyDescent="0.2">
      <c r="A64" s="23"/>
      <c r="B64" s="23"/>
      <c r="C64" s="24"/>
      <c r="D64" s="24" t="s">
        <v>278</v>
      </c>
      <c r="E64" s="25"/>
      <c r="F64" s="10"/>
      <c r="G64" s="27">
        <f>Source!AO30</f>
        <v>53.56</v>
      </c>
      <c r="H64" s="26" t="str">
        <f>Source!DG30</f>
        <v>)*1,2)*0,3</v>
      </c>
      <c r="I64" s="10">
        <f>Source!AV30</f>
        <v>1.0469999999999999</v>
      </c>
      <c r="J64" s="28">
        <f>ROUND((ROUND((Source!AF30*Source!AV30*Source!I30),2)),2)</f>
        <v>181.69</v>
      </c>
      <c r="K64" s="10">
        <f>IF(Source!BA30&lt;&gt; 0, Source!BA30, 1)</f>
        <v>20.399999999999999</v>
      </c>
      <c r="L64" s="28">
        <f>Source!S30</f>
        <v>3706.48</v>
      </c>
      <c r="W64">
        <f>J64</f>
        <v>181.69</v>
      </c>
    </row>
    <row r="65" spans="1:27" ht="28.5" x14ac:dyDescent="0.2">
      <c r="A65" s="23"/>
      <c r="B65" s="23"/>
      <c r="C65" s="24"/>
      <c r="D65" s="24" t="s">
        <v>279</v>
      </c>
      <c r="E65" s="25"/>
      <c r="F65" s="10"/>
      <c r="G65" s="27">
        <f>Source!AM30</f>
        <v>70.38</v>
      </c>
      <c r="H65" s="26" t="str">
        <f>Source!DE30</f>
        <v>)*1,2)*0,3</v>
      </c>
      <c r="I65" s="10">
        <f>Source!AV30</f>
        <v>1.0469999999999999</v>
      </c>
      <c r="J65" s="28">
        <f>(ROUND((ROUND(((((Source!ET30*1.2)*0.3))*Source!AV30*Source!I30),2)),2)+ROUND((ROUND(((Source!AE30-(((Source!EU30*1.2)*0.3)))*Source!AV30*Source!I30),2)),2))</f>
        <v>238.75</v>
      </c>
      <c r="K65" s="10">
        <f>IF(Source!BB30&lt;&gt; 0, Source!BB30, 1)</f>
        <v>7.08</v>
      </c>
      <c r="L65" s="28">
        <f>Source!Q30</f>
        <v>1690.35</v>
      </c>
    </row>
    <row r="66" spans="1:27" ht="28.5" x14ac:dyDescent="0.2">
      <c r="A66" s="23"/>
      <c r="B66" s="23"/>
      <c r="C66" s="24"/>
      <c r="D66" s="24" t="s">
        <v>280</v>
      </c>
      <c r="E66" s="25"/>
      <c r="F66" s="10"/>
      <c r="G66" s="27">
        <f>Source!AN30</f>
        <v>9.69</v>
      </c>
      <c r="H66" s="26" t="str">
        <f>Source!DF30</f>
        <v>)*1,2)*0,3</v>
      </c>
      <c r="I66" s="10">
        <f>Source!AV30</f>
        <v>1.0469999999999999</v>
      </c>
      <c r="J66" s="29">
        <f>ROUND((ROUND((Source!AE30*Source!AV30*Source!I30),2)),2)</f>
        <v>32.869999999999997</v>
      </c>
      <c r="K66" s="10">
        <f>IF(Source!BS30&lt;&gt; 0, Source!BS30, 1)</f>
        <v>20.399999999999999</v>
      </c>
      <c r="L66" s="29">
        <f>Source!R30</f>
        <v>670.55</v>
      </c>
      <c r="W66">
        <f>J66</f>
        <v>32.869999999999997</v>
      </c>
    </row>
    <row r="67" spans="1:27" ht="14.25" x14ac:dyDescent="0.2">
      <c r="A67" s="23"/>
      <c r="B67" s="23"/>
      <c r="C67" s="24"/>
      <c r="D67" s="24" t="s">
        <v>282</v>
      </c>
      <c r="E67" s="25" t="s">
        <v>283</v>
      </c>
      <c r="F67" s="10">
        <f>Source!DN30</f>
        <v>114</v>
      </c>
      <c r="G67" s="27"/>
      <c r="H67" s="26"/>
      <c r="I67" s="10"/>
      <c r="J67" s="28">
        <f>SUM(Q63:Q66)</f>
        <v>207.13</v>
      </c>
      <c r="K67" s="10">
        <f>Source!BZ30</f>
        <v>77</v>
      </c>
      <c r="L67" s="28">
        <f>SUM(R63:R66)</f>
        <v>2853.99</v>
      </c>
    </row>
    <row r="68" spans="1:27" ht="14.25" x14ac:dyDescent="0.2">
      <c r="A68" s="23"/>
      <c r="B68" s="23"/>
      <c r="C68" s="24"/>
      <c r="D68" s="24" t="s">
        <v>284</v>
      </c>
      <c r="E68" s="25" t="s">
        <v>283</v>
      </c>
      <c r="F68" s="10">
        <f>Source!DO30</f>
        <v>67</v>
      </c>
      <c r="G68" s="27"/>
      <c r="H68" s="26"/>
      <c r="I68" s="10"/>
      <c r="J68" s="28">
        <f>SUM(S63:S67)</f>
        <v>121.73</v>
      </c>
      <c r="K68" s="10">
        <f>Source!CA30</f>
        <v>41</v>
      </c>
      <c r="L68" s="28">
        <f>SUM(T63:T67)</f>
        <v>1519.66</v>
      </c>
    </row>
    <row r="69" spans="1:27" ht="14.25" x14ac:dyDescent="0.2">
      <c r="A69" s="23"/>
      <c r="B69" s="23"/>
      <c r="C69" s="24"/>
      <c r="D69" s="24" t="s">
        <v>285</v>
      </c>
      <c r="E69" s="25" t="s">
        <v>283</v>
      </c>
      <c r="F69" s="10">
        <f>175</f>
        <v>175</v>
      </c>
      <c r="G69" s="27"/>
      <c r="H69" s="26"/>
      <c r="I69" s="10"/>
      <c r="J69" s="28">
        <f>SUM(U63:U68)</f>
        <v>57.52</v>
      </c>
      <c r="K69" s="10">
        <f>157</f>
        <v>157</v>
      </c>
      <c r="L69" s="28">
        <f>SUM(V63:V68)</f>
        <v>1052.76</v>
      </c>
    </row>
    <row r="70" spans="1:27" ht="28.5" x14ac:dyDescent="0.2">
      <c r="A70" s="23"/>
      <c r="B70" s="23"/>
      <c r="C70" s="24"/>
      <c r="D70" s="24" t="s">
        <v>286</v>
      </c>
      <c r="E70" s="25" t="s">
        <v>287</v>
      </c>
      <c r="F70" s="10">
        <f>Source!AQ30</f>
        <v>4.12</v>
      </c>
      <c r="G70" s="27"/>
      <c r="H70" s="26" t="str">
        <f>Source!DI30</f>
        <v>)*1,2)*0,3</v>
      </c>
      <c r="I70" s="10">
        <f>Source!AV30</f>
        <v>1.0469999999999999</v>
      </c>
      <c r="J70" s="28">
        <f>Source!U30</f>
        <v>13.976193599999998</v>
      </c>
      <c r="K70" s="10"/>
      <c r="L70" s="28"/>
    </row>
    <row r="71" spans="1:27" ht="15" x14ac:dyDescent="0.25">
      <c r="A71" s="31"/>
      <c r="B71" s="31"/>
      <c r="C71" s="31"/>
      <c r="D71" s="31"/>
      <c r="E71" s="31"/>
      <c r="F71" s="31"/>
      <c r="G71" s="31"/>
      <c r="H71" s="31"/>
      <c r="I71" s="56">
        <f>J64+J65+J67+J68+J69</f>
        <v>806.81999999999994</v>
      </c>
      <c r="J71" s="56"/>
      <c r="K71" s="56">
        <f>L64+L65+L67+L68+L69</f>
        <v>10823.24</v>
      </c>
      <c r="L71" s="56"/>
      <c r="O71" s="30">
        <f>J64+J65+J67+J68+J69</f>
        <v>806.81999999999994</v>
      </c>
      <c r="P71" s="30">
        <f>L64+L65+L67+L68+L69</f>
        <v>10823.24</v>
      </c>
      <c r="X71">
        <f>IF(Source!BI30&lt;=1,J64+J65+J67+J68+J69-0, 0)</f>
        <v>0</v>
      </c>
      <c r="Y71">
        <f>IF(Source!BI30=2,J64+J65+J67+J68+J69-0, 0)</f>
        <v>806.81999999999994</v>
      </c>
      <c r="Z71">
        <f>IF(Source!BI30=3,J64+J65+J67+J68+J69-0, 0)</f>
        <v>0</v>
      </c>
      <c r="AA71">
        <f>IF(Source!BI30=4,J64+J65+J67+J68+J69,0)</f>
        <v>0</v>
      </c>
    </row>
    <row r="72" spans="1:27" ht="28.5" x14ac:dyDescent="0.2">
      <c r="A72" s="23">
        <v>4</v>
      </c>
      <c r="B72" s="23" t="str">
        <f>Source!E31</f>
        <v>4</v>
      </c>
      <c r="C72" s="24" t="str">
        <f>Source!F31</f>
        <v>4.8-47-2</v>
      </c>
      <c r="D72" s="24" t="s">
        <v>47</v>
      </c>
      <c r="E72" s="25" t="str">
        <f>Source!H31</f>
        <v>100 м</v>
      </c>
      <c r="F72" s="10">
        <f>Source!I31</f>
        <v>0.27</v>
      </c>
      <c r="G72" s="27"/>
      <c r="H72" s="26"/>
      <c r="I72" s="10"/>
      <c r="J72" s="28"/>
      <c r="K72" s="10"/>
      <c r="L72" s="28"/>
      <c r="Q72">
        <f>ROUND((Source!DN31/100)*ROUND((ROUND((Source!AF31*Source!AV31*Source!I31),2)),2), 2)</f>
        <v>271.35000000000002</v>
      </c>
      <c r="R72">
        <f>Source!X31</f>
        <v>3738.97</v>
      </c>
      <c r="S72">
        <f>ROUND((Source!DO31/100)*ROUND((ROUND((Source!AF31*Source!AV31*Source!I31),2)),2), 2)</f>
        <v>159.47999999999999</v>
      </c>
      <c r="T72">
        <f>Source!Y31</f>
        <v>1990.88</v>
      </c>
      <c r="U72">
        <f>ROUND((175/100)*ROUND((ROUND((Source!AE31*Source!AV31*Source!I31),2)),2), 2)</f>
        <v>72.069999999999993</v>
      </c>
      <c r="V72">
        <f>ROUND((157/100)*ROUND(ROUND((ROUND((Source!AE31*Source!AV31*Source!I31),2)*Source!BS31),2), 2), 2)</f>
        <v>1318.91</v>
      </c>
    </row>
    <row r="73" spans="1:27" x14ac:dyDescent="0.2">
      <c r="D73" s="32" t="str">
        <f>"Объем: "&amp;Source!I31&amp;"=27/"&amp;"100"</f>
        <v>Объем: 0,27=27/100</v>
      </c>
    </row>
    <row r="74" spans="1:27" ht="14.25" x14ac:dyDescent="0.2">
      <c r="A74" s="23"/>
      <c r="B74" s="23"/>
      <c r="C74" s="24"/>
      <c r="D74" s="24" t="s">
        <v>278</v>
      </c>
      <c r="E74" s="25"/>
      <c r="F74" s="10"/>
      <c r="G74" s="27">
        <f>Source!AO31</f>
        <v>701.67</v>
      </c>
      <c r="H74" s="26" t="str">
        <f>Source!DG31</f>
        <v>)*1,2</v>
      </c>
      <c r="I74" s="10">
        <f>Source!AV31</f>
        <v>1.0469999999999999</v>
      </c>
      <c r="J74" s="28">
        <f>ROUND((ROUND((Source!AF31*Source!AV31*Source!I31),2)),2)</f>
        <v>238.03</v>
      </c>
      <c r="K74" s="10">
        <f>IF(Source!BA31&lt;&gt; 0, Source!BA31, 1)</f>
        <v>20.399999999999999</v>
      </c>
      <c r="L74" s="28">
        <f>Source!S31</f>
        <v>4855.8100000000004</v>
      </c>
      <c r="W74">
        <f>J74</f>
        <v>238.03</v>
      </c>
    </row>
    <row r="75" spans="1:27" ht="14.25" x14ac:dyDescent="0.2">
      <c r="A75" s="23"/>
      <c r="B75" s="23"/>
      <c r="C75" s="24"/>
      <c r="D75" s="24" t="s">
        <v>279</v>
      </c>
      <c r="E75" s="25"/>
      <c r="F75" s="10"/>
      <c r="G75" s="27">
        <f>Source!AM31</f>
        <v>523.13</v>
      </c>
      <c r="H75" s="26" t="str">
        <f>Source!DE31</f>
        <v>)*1,2</v>
      </c>
      <c r="I75" s="10">
        <f>Source!AV31</f>
        <v>1.0469999999999999</v>
      </c>
      <c r="J75" s="28">
        <f>(ROUND((ROUND((((Source!ET31*1.2))*Source!AV31*Source!I31),2)),2)+ROUND((ROUND(((Source!AE31-((Source!EU31*1.2)))*Source!AV31*Source!I31),2)),2))</f>
        <v>177.46</v>
      </c>
      <c r="K75" s="10">
        <f>IF(Source!BB31&lt;&gt; 0, Source!BB31, 1)</f>
        <v>9.06</v>
      </c>
      <c r="L75" s="28">
        <f>Source!Q31</f>
        <v>1607.79</v>
      </c>
    </row>
    <row r="76" spans="1:27" ht="14.25" x14ac:dyDescent="0.2">
      <c r="A76" s="23"/>
      <c r="B76" s="23"/>
      <c r="C76" s="24"/>
      <c r="D76" s="24" t="s">
        <v>280</v>
      </c>
      <c r="E76" s="25"/>
      <c r="F76" s="10"/>
      <c r="G76" s="27">
        <f>Source!AN31</f>
        <v>121.38</v>
      </c>
      <c r="H76" s="26" t="str">
        <f>Source!DF31</f>
        <v>)*1,2</v>
      </c>
      <c r="I76" s="10">
        <f>Source!AV31</f>
        <v>1.0469999999999999</v>
      </c>
      <c r="J76" s="29">
        <f>ROUND((ROUND((Source!AE31*Source!AV31*Source!I31),2)),2)</f>
        <v>41.18</v>
      </c>
      <c r="K76" s="10">
        <f>IF(Source!BS31&lt;&gt; 0, Source!BS31, 1)</f>
        <v>20.399999999999999</v>
      </c>
      <c r="L76" s="29">
        <f>Source!R31</f>
        <v>840.07</v>
      </c>
      <c r="W76">
        <f>J76</f>
        <v>41.18</v>
      </c>
    </row>
    <row r="77" spans="1:27" ht="14.25" x14ac:dyDescent="0.2">
      <c r="A77" s="23"/>
      <c r="B77" s="23"/>
      <c r="C77" s="24"/>
      <c r="D77" s="24" t="s">
        <v>281</v>
      </c>
      <c r="E77" s="25"/>
      <c r="F77" s="10"/>
      <c r="G77" s="27">
        <f>Source!AL31</f>
        <v>81.2</v>
      </c>
      <c r="H77" s="26" t="str">
        <f>Source!DD31</f>
        <v/>
      </c>
      <c r="I77" s="10">
        <f>Source!AW31</f>
        <v>1</v>
      </c>
      <c r="J77" s="28">
        <f>ROUND((ROUND((Source!AC31*Source!AW31*Source!I31),2)),2)</f>
        <v>21.92</v>
      </c>
      <c r="K77" s="10">
        <f>IF(Source!BC31&lt;&gt; 0, Source!BC31, 1)</f>
        <v>4.9400000000000004</v>
      </c>
      <c r="L77" s="28">
        <f>Source!P31</f>
        <v>108.28</v>
      </c>
    </row>
    <row r="78" spans="1:27" ht="14.25" x14ac:dyDescent="0.2">
      <c r="A78" s="23"/>
      <c r="B78" s="23"/>
      <c r="C78" s="24"/>
      <c r="D78" s="24" t="s">
        <v>282</v>
      </c>
      <c r="E78" s="25" t="s">
        <v>283</v>
      </c>
      <c r="F78" s="10">
        <f>Source!DN31</f>
        <v>114</v>
      </c>
      <c r="G78" s="27"/>
      <c r="H78" s="26"/>
      <c r="I78" s="10"/>
      <c r="J78" s="28">
        <f>SUM(Q72:Q77)</f>
        <v>271.35000000000002</v>
      </c>
      <c r="K78" s="10">
        <f>Source!BZ31</f>
        <v>77</v>
      </c>
      <c r="L78" s="28">
        <f>SUM(R72:R77)</f>
        <v>3738.97</v>
      </c>
    </row>
    <row r="79" spans="1:27" ht="14.25" x14ac:dyDescent="0.2">
      <c r="A79" s="23"/>
      <c r="B79" s="23"/>
      <c r="C79" s="24"/>
      <c r="D79" s="24" t="s">
        <v>284</v>
      </c>
      <c r="E79" s="25" t="s">
        <v>283</v>
      </c>
      <c r="F79" s="10">
        <f>Source!DO31</f>
        <v>67</v>
      </c>
      <c r="G79" s="27"/>
      <c r="H79" s="26"/>
      <c r="I79" s="10"/>
      <c r="J79" s="28">
        <f>SUM(S72:S78)</f>
        <v>159.47999999999999</v>
      </c>
      <c r="K79" s="10">
        <f>Source!CA31</f>
        <v>41</v>
      </c>
      <c r="L79" s="28">
        <f>SUM(T72:T78)</f>
        <v>1990.88</v>
      </c>
    </row>
    <row r="80" spans="1:27" ht="14.25" x14ac:dyDescent="0.2">
      <c r="A80" s="23"/>
      <c r="B80" s="23"/>
      <c r="C80" s="24"/>
      <c r="D80" s="24" t="s">
        <v>285</v>
      </c>
      <c r="E80" s="25" t="s">
        <v>283</v>
      </c>
      <c r="F80" s="10">
        <f>175</f>
        <v>175</v>
      </c>
      <c r="G80" s="27"/>
      <c r="H80" s="26"/>
      <c r="I80" s="10"/>
      <c r="J80" s="28">
        <f>SUM(U72:U79)</f>
        <v>72.069999999999993</v>
      </c>
      <c r="K80" s="10">
        <f>157</f>
        <v>157</v>
      </c>
      <c r="L80" s="28">
        <f>SUM(V72:V79)</f>
        <v>1318.91</v>
      </c>
    </row>
    <row r="81" spans="1:27" ht="14.25" x14ac:dyDescent="0.2">
      <c r="A81" s="23"/>
      <c r="B81" s="23"/>
      <c r="C81" s="24"/>
      <c r="D81" s="24" t="s">
        <v>286</v>
      </c>
      <c r="E81" s="25" t="s">
        <v>287</v>
      </c>
      <c r="F81" s="10">
        <f>Source!AQ31</f>
        <v>55.6</v>
      </c>
      <c r="G81" s="27"/>
      <c r="H81" s="26" t="str">
        <f>Source!DI31</f>
        <v>)*1,2</v>
      </c>
      <c r="I81" s="10">
        <f>Source!AV31</f>
        <v>1.0469999999999999</v>
      </c>
      <c r="J81" s="28">
        <f>Source!U31</f>
        <v>18.861076800000003</v>
      </c>
      <c r="K81" s="10"/>
      <c r="L81" s="28"/>
    </row>
    <row r="82" spans="1:27" ht="15" x14ac:dyDescent="0.25">
      <c r="A82" s="31"/>
      <c r="B82" s="31"/>
      <c r="C82" s="31"/>
      <c r="D82" s="31"/>
      <c r="E82" s="31"/>
      <c r="F82" s="31"/>
      <c r="G82" s="31"/>
      <c r="H82" s="31"/>
      <c r="I82" s="56">
        <f>J74+J75+J77+J78+J79+J80</f>
        <v>940.31</v>
      </c>
      <c r="J82" s="56"/>
      <c r="K82" s="56">
        <f>L74+L75+L77+L78+L79+L80</f>
        <v>13620.64</v>
      </c>
      <c r="L82" s="56"/>
      <c r="O82" s="30">
        <f>J74+J75+J77+J78+J79+J80</f>
        <v>940.31</v>
      </c>
      <c r="P82" s="30">
        <f>L74+L75+L77+L78+L79+L80</f>
        <v>13620.64</v>
      </c>
      <c r="X82">
        <f>IF(Source!BI31&lt;=1,J74+J75+J77+J78+J79+J80-0, 0)</f>
        <v>0</v>
      </c>
      <c r="Y82">
        <f>IF(Source!BI31=2,J74+J75+J77+J78+J79+J80-0, 0)</f>
        <v>940.31</v>
      </c>
      <c r="Z82">
        <f>IF(Source!BI31=3,J74+J75+J77+J78+J79+J80-0, 0)</f>
        <v>0</v>
      </c>
      <c r="AA82">
        <f>IF(Source!BI31=4,J74+J75+J77+J78+J79+J80,0)</f>
        <v>0</v>
      </c>
    </row>
    <row r="83" spans="1:27" ht="57" x14ac:dyDescent="0.2">
      <c r="A83" s="23">
        <v>5</v>
      </c>
      <c r="B83" s="23" t="str">
        <f>Source!E32</f>
        <v>5</v>
      </c>
      <c r="C83" s="24" t="str">
        <f>Source!F32</f>
        <v>4.8-78-1</v>
      </c>
      <c r="D83" s="24" t="s">
        <v>52</v>
      </c>
      <c r="E83" s="25" t="str">
        <f>Source!H32</f>
        <v>100 м</v>
      </c>
      <c r="F83" s="10">
        <f>Source!I32</f>
        <v>1.17</v>
      </c>
      <c r="G83" s="27"/>
      <c r="H83" s="26"/>
      <c r="I83" s="10"/>
      <c r="J83" s="28"/>
      <c r="K83" s="10"/>
      <c r="L83" s="28"/>
      <c r="Q83">
        <f>ROUND((Source!DN32/100)*ROUND((ROUND((Source!AF32*Source!AV32*Source!I32),2)),2), 2)</f>
        <v>267.42</v>
      </c>
      <c r="R83">
        <f>Source!X32</f>
        <v>4483.16</v>
      </c>
      <c r="S83">
        <f>ROUND((Source!DO32/100)*ROUND((ROUND((Source!AF32*Source!AV32*Source!I32),2)),2), 2)</f>
        <v>157.16999999999999</v>
      </c>
      <c r="T83">
        <f>Source!Y32</f>
        <v>2387.13</v>
      </c>
      <c r="U83">
        <f>ROUND((175/100)*ROUND((ROUND((Source!AE32*Source!AV32*Source!I32),2)),2), 2)</f>
        <v>415.45</v>
      </c>
      <c r="V83">
        <f>ROUND((157/100)*ROUND(ROUND((ROUND((Source!AE32*Source!AV32*Source!I32),2)*Source!BS32),2), 2), 2)</f>
        <v>9250.86</v>
      </c>
    </row>
    <row r="84" spans="1:27" x14ac:dyDescent="0.2">
      <c r="D84" s="32" t="str">
        <f>"Объем: "&amp;Source!I32&amp;"=117/"&amp;"100"</f>
        <v>Объем: 1,17=117/100</v>
      </c>
    </row>
    <row r="85" spans="1:27" ht="14.25" x14ac:dyDescent="0.2">
      <c r="A85" s="23"/>
      <c r="B85" s="23"/>
      <c r="C85" s="24"/>
      <c r="D85" s="24" t="s">
        <v>278</v>
      </c>
      <c r="E85" s="25"/>
      <c r="F85" s="10"/>
      <c r="G85" s="27">
        <f>Source!AO32</f>
        <v>156.59</v>
      </c>
      <c r="H85" s="26" t="str">
        <f>Source!DG32</f>
        <v>)*1,2</v>
      </c>
      <c r="I85" s="10">
        <f>Source!AV32</f>
        <v>1.0669999999999999</v>
      </c>
      <c r="J85" s="28">
        <f>ROUND((ROUND((Source!AF32*Source!AV32*Source!I32),2)),2)</f>
        <v>234.58</v>
      </c>
      <c r="K85" s="10">
        <f>IF(Source!BA32&lt;&gt; 0, Source!BA32, 1)</f>
        <v>24.82</v>
      </c>
      <c r="L85" s="28">
        <f>Source!S32</f>
        <v>5822.28</v>
      </c>
      <c r="W85">
        <f>J85</f>
        <v>234.58</v>
      </c>
    </row>
    <row r="86" spans="1:27" ht="14.25" x14ac:dyDescent="0.2">
      <c r="A86" s="23"/>
      <c r="B86" s="23"/>
      <c r="C86" s="24"/>
      <c r="D86" s="24" t="s">
        <v>279</v>
      </c>
      <c r="E86" s="25"/>
      <c r="F86" s="10"/>
      <c r="G86" s="27">
        <f>Source!AM32</f>
        <v>828.39</v>
      </c>
      <c r="H86" s="26" t="str">
        <f>Source!DE32</f>
        <v>)*1,2</v>
      </c>
      <c r="I86" s="10">
        <f>Source!AV32</f>
        <v>1.0669999999999999</v>
      </c>
      <c r="J86" s="28">
        <f>(ROUND((ROUND((((Source!ET32*1.2))*Source!AV32*Source!I32),2)),2)+ROUND((ROUND(((Source!AE32-((Source!EU32*1.2)))*Source!AV32*Source!I32),2)),2))</f>
        <v>1240.98</v>
      </c>
      <c r="K86" s="10">
        <f>IF(Source!BB32&lt;&gt; 0, Source!BB32, 1)</f>
        <v>7.48</v>
      </c>
      <c r="L86" s="28">
        <f>Source!Q32</f>
        <v>9282.5300000000007</v>
      </c>
    </row>
    <row r="87" spans="1:27" ht="14.25" x14ac:dyDescent="0.2">
      <c r="A87" s="23"/>
      <c r="B87" s="23"/>
      <c r="C87" s="24"/>
      <c r="D87" s="24" t="s">
        <v>280</v>
      </c>
      <c r="E87" s="25"/>
      <c r="F87" s="10"/>
      <c r="G87" s="27">
        <f>Source!AN32</f>
        <v>158.47</v>
      </c>
      <c r="H87" s="26" t="str">
        <f>Source!DF32</f>
        <v>)*1,2</v>
      </c>
      <c r="I87" s="10">
        <f>Source!AV32</f>
        <v>1.0669999999999999</v>
      </c>
      <c r="J87" s="29">
        <f>ROUND((ROUND((Source!AE32*Source!AV32*Source!I32),2)),2)</f>
        <v>237.4</v>
      </c>
      <c r="K87" s="10">
        <f>IF(Source!BS32&lt;&gt; 0, Source!BS32, 1)</f>
        <v>24.82</v>
      </c>
      <c r="L87" s="29">
        <f>Source!R32</f>
        <v>5892.27</v>
      </c>
      <c r="W87">
        <f>J87</f>
        <v>237.4</v>
      </c>
    </row>
    <row r="88" spans="1:27" ht="14.25" x14ac:dyDescent="0.2">
      <c r="A88" s="23"/>
      <c r="B88" s="23"/>
      <c r="C88" s="24"/>
      <c r="D88" s="24" t="s">
        <v>281</v>
      </c>
      <c r="E88" s="25"/>
      <c r="F88" s="10"/>
      <c r="G88" s="27">
        <f>Source!AL32</f>
        <v>168</v>
      </c>
      <c r="H88" s="26" t="str">
        <f>Source!DD32</f>
        <v/>
      </c>
      <c r="I88" s="10">
        <f>Source!AW32</f>
        <v>1.081</v>
      </c>
      <c r="J88" s="28">
        <f>ROUND((ROUND((Source!AC32*Source!AW32*Source!I32),2)),2)</f>
        <v>212.48</v>
      </c>
      <c r="K88" s="10">
        <f>IF(Source!BC32&lt;&gt; 0, Source!BC32, 1)</f>
        <v>5.29</v>
      </c>
      <c r="L88" s="28">
        <f>Source!P32</f>
        <v>1124.02</v>
      </c>
    </row>
    <row r="89" spans="1:27" ht="14.25" x14ac:dyDescent="0.2">
      <c r="A89" s="23"/>
      <c r="B89" s="23"/>
      <c r="C89" s="24"/>
      <c r="D89" s="24" t="s">
        <v>282</v>
      </c>
      <c r="E89" s="25" t="s">
        <v>283</v>
      </c>
      <c r="F89" s="10">
        <f>Source!DN32</f>
        <v>114</v>
      </c>
      <c r="G89" s="27"/>
      <c r="H89" s="26"/>
      <c r="I89" s="10"/>
      <c r="J89" s="28">
        <f>SUM(Q83:Q88)</f>
        <v>267.42</v>
      </c>
      <c r="K89" s="10">
        <f>Source!BZ32</f>
        <v>77</v>
      </c>
      <c r="L89" s="28">
        <f>SUM(R83:R88)</f>
        <v>4483.16</v>
      </c>
    </row>
    <row r="90" spans="1:27" ht="14.25" x14ac:dyDescent="0.2">
      <c r="A90" s="23"/>
      <c r="B90" s="23"/>
      <c r="C90" s="24"/>
      <c r="D90" s="24" t="s">
        <v>284</v>
      </c>
      <c r="E90" s="25" t="s">
        <v>283</v>
      </c>
      <c r="F90" s="10">
        <f>Source!DO32</f>
        <v>67</v>
      </c>
      <c r="G90" s="27"/>
      <c r="H90" s="26"/>
      <c r="I90" s="10"/>
      <c r="J90" s="28">
        <f>SUM(S83:S89)</f>
        <v>157.16999999999999</v>
      </c>
      <c r="K90" s="10">
        <f>Source!CA32</f>
        <v>41</v>
      </c>
      <c r="L90" s="28">
        <f>SUM(T83:T89)</f>
        <v>2387.13</v>
      </c>
    </row>
    <row r="91" spans="1:27" ht="14.25" x14ac:dyDescent="0.2">
      <c r="A91" s="23"/>
      <c r="B91" s="23"/>
      <c r="C91" s="24"/>
      <c r="D91" s="24" t="s">
        <v>285</v>
      </c>
      <c r="E91" s="25" t="s">
        <v>283</v>
      </c>
      <c r="F91" s="10">
        <f>175</f>
        <v>175</v>
      </c>
      <c r="G91" s="27"/>
      <c r="H91" s="26"/>
      <c r="I91" s="10"/>
      <c r="J91" s="28">
        <f>SUM(U83:U90)</f>
        <v>415.45</v>
      </c>
      <c r="K91" s="10">
        <f>157</f>
        <v>157</v>
      </c>
      <c r="L91" s="28">
        <f>SUM(V83:V90)</f>
        <v>9250.86</v>
      </c>
    </row>
    <row r="92" spans="1:27" ht="14.25" x14ac:dyDescent="0.2">
      <c r="A92" s="23"/>
      <c r="B92" s="23"/>
      <c r="C92" s="24"/>
      <c r="D92" s="24" t="s">
        <v>286</v>
      </c>
      <c r="E92" s="25" t="s">
        <v>287</v>
      </c>
      <c r="F92" s="10">
        <f>Source!AQ32</f>
        <v>12.7</v>
      </c>
      <c r="G92" s="27"/>
      <c r="H92" s="26" t="str">
        <f>Source!DI32</f>
        <v>)*1,2</v>
      </c>
      <c r="I92" s="10">
        <f>Source!AV32</f>
        <v>1.0669999999999999</v>
      </c>
      <c r="J92" s="28">
        <f>Source!U32</f>
        <v>19.025463599999995</v>
      </c>
      <c r="K92" s="10"/>
      <c r="L92" s="28"/>
    </row>
    <row r="93" spans="1:27" ht="15" x14ac:dyDescent="0.25">
      <c r="A93" s="31"/>
      <c r="B93" s="31"/>
      <c r="C93" s="31"/>
      <c r="D93" s="31"/>
      <c r="E93" s="31"/>
      <c r="F93" s="31"/>
      <c r="G93" s="31"/>
      <c r="H93" s="31"/>
      <c r="I93" s="56">
        <f>J85+J86+J88+J89+J90+J91</f>
        <v>2528.08</v>
      </c>
      <c r="J93" s="56"/>
      <c r="K93" s="56">
        <f>L85+L86+L88+L89+L90+L91</f>
        <v>32349.980000000003</v>
      </c>
      <c r="L93" s="56"/>
      <c r="O93" s="30">
        <f>J85+J86+J88+J89+J90+J91</f>
        <v>2528.08</v>
      </c>
      <c r="P93" s="30">
        <f>L85+L86+L88+L89+L90+L91</f>
        <v>32349.980000000003</v>
      </c>
      <c r="X93">
        <f>IF(Source!BI32&lt;=1,J85+J86+J88+J89+J90+J91-0, 0)</f>
        <v>0</v>
      </c>
      <c r="Y93">
        <f>IF(Source!BI32=2,J85+J86+J88+J89+J90+J91-0, 0)</f>
        <v>2528.08</v>
      </c>
      <c r="Z93">
        <f>IF(Source!BI32=3,J85+J86+J88+J89+J90+J91-0, 0)</f>
        <v>0</v>
      </c>
      <c r="AA93">
        <f>IF(Source!BI32=4,J85+J86+J88+J89+J90+J91,0)</f>
        <v>0</v>
      </c>
    </row>
    <row r="94" spans="1:27" ht="85.5" x14ac:dyDescent="0.2">
      <c r="A94" s="23">
        <v>6</v>
      </c>
      <c r="B94" s="23" t="str">
        <f>Source!E33</f>
        <v>6</v>
      </c>
      <c r="C94" s="24" t="str">
        <f>Source!F33</f>
        <v>4.8-79-3</v>
      </c>
      <c r="D94" s="24" t="s">
        <v>58</v>
      </c>
      <c r="E94" s="25" t="str">
        <f>Source!H33</f>
        <v>100 м</v>
      </c>
      <c r="F94" s="10">
        <f>Source!I33</f>
        <v>0.18</v>
      </c>
      <c r="G94" s="27"/>
      <c r="H94" s="26"/>
      <c r="I94" s="10"/>
      <c r="J94" s="28"/>
      <c r="K94" s="10"/>
      <c r="L94" s="28"/>
      <c r="Q94">
        <f>ROUND((Source!DN33/100)*ROUND((ROUND((Source!AF33*Source!AV33*Source!I33),2)),2), 2)</f>
        <v>52.16</v>
      </c>
      <c r="R94">
        <f>Source!X33</f>
        <v>874.35</v>
      </c>
      <c r="S94">
        <f>ROUND((Source!DO33/100)*ROUND((ROUND((Source!AF33*Source!AV33*Source!I33),2)),2), 2)</f>
        <v>30.65</v>
      </c>
      <c r="T94">
        <f>Source!Y33</f>
        <v>465.56</v>
      </c>
      <c r="U94">
        <f>ROUND((175/100)*ROUND((ROUND((Source!AE33*Source!AV33*Source!I33),2)),2), 2)</f>
        <v>30.28</v>
      </c>
      <c r="V94">
        <f>ROUND((157/100)*ROUND(ROUND((ROUND((Source!AE33*Source!AV33*Source!I33),2)*Source!BS33),2), 2), 2)</f>
        <v>674.14</v>
      </c>
    </row>
    <row r="95" spans="1:27" x14ac:dyDescent="0.2">
      <c r="D95" s="32" t="str">
        <f>"Объем: "&amp;Source!I33&amp;"=18/"&amp;"100"</f>
        <v>Объем: 0,18=18/100</v>
      </c>
    </row>
    <row r="96" spans="1:27" ht="14.25" x14ac:dyDescent="0.2">
      <c r="A96" s="23"/>
      <c r="B96" s="23"/>
      <c r="C96" s="24"/>
      <c r="D96" s="24" t="s">
        <v>278</v>
      </c>
      <c r="E96" s="25"/>
      <c r="F96" s="10"/>
      <c r="G96" s="27">
        <f>Source!AO33</f>
        <v>198.51</v>
      </c>
      <c r="H96" s="26" t="str">
        <f>Source!DG33</f>
        <v>)*1,2</v>
      </c>
      <c r="I96" s="10">
        <f>Source!AV33</f>
        <v>1.0669999999999999</v>
      </c>
      <c r="J96" s="28">
        <f>ROUND((ROUND((Source!AF33*Source!AV33*Source!I33),2)),2)</f>
        <v>45.75</v>
      </c>
      <c r="K96" s="10">
        <f>IF(Source!BA33&lt;&gt; 0, Source!BA33, 1)</f>
        <v>24.82</v>
      </c>
      <c r="L96" s="28">
        <f>Source!S33</f>
        <v>1135.52</v>
      </c>
      <c r="W96">
        <f>J96</f>
        <v>45.75</v>
      </c>
    </row>
    <row r="97" spans="1:27" ht="14.25" x14ac:dyDescent="0.2">
      <c r="A97" s="23"/>
      <c r="B97" s="23"/>
      <c r="C97" s="24"/>
      <c r="D97" s="24" t="s">
        <v>279</v>
      </c>
      <c r="E97" s="25"/>
      <c r="F97" s="10"/>
      <c r="G97" s="27">
        <f>Source!AM33</f>
        <v>463.73</v>
      </c>
      <c r="H97" s="26" t="str">
        <f>Source!DE33</f>
        <v>)*1,2</v>
      </c>
      <c r="I97" s="10">
        <f>Source!AV33</f>
        <v>1.0669999999999999</v>
      </c>
      <c r="J97" s="28">
        <f>(ROUND((ROUND((((Source!ET33*1.2))*Source!AV33*Source!I33),2)),2)+ROUND((ROUND(((Source!AE33-((Source!EU33*1.2)))*Source!AV33*Source!I33),2)),2))</f>
        <v>106.88</v>
      </c>
      <c r="K97" s="10">
        <f>IF(Source!BB33&lt;&gt; 0, Source!BB33, 1)</f>
        <v>5.52</v>
      </c>
      <c r="L97" s="28">
        <f>Source!Q33</f>
        <v>589.98</v>
      </c>
    </row>
    <row r="98" spans="1:27" ht="14.25" x14ac:dyDescent="0.2">
      <c r="A98" s="23"/>
      <c r="B98" s="23"/>
      <c r="C98" s="24"/>
      <c r="D98" s="24" t="s">
        <v>280</v>
      </c>
      <c r="E98" s="25"/>
      <c r="F98" s="10"/>
      <c r="G98" s="27">
        <f>Source!AN33</f>
        <v>75.08</v>
      </c>
      <c r="H98" s="26" t="str">
        <f>Source!DF33</f>
        <v>)*1,2</v>
      </c>
      <c r="I98" s="10">
        <f>Source!AV33</f>
        <v>1.0669999999999999</v>
      </c>
      <c r="J98" s="29">
        <f>ROUND((ROUND((Source!AE33*Source!AV33*Source!I33),2)),2)</f>
        <v>17.3</v>
      </c>
      <c r="K98" s="10">
        <f>IF(Source!BS33&lt;&gt; 0, Source!BS33, 1)</f>
        <v>24.82</v>
      </c>
      <c r="L98" s="29">
        <f>Source!R33</f>
        <v>429.39</v>
      </c>
      <c r="W98">
        <f>J98</f>
        <v>17.3</v>
      </c>
    </row>
    <row r="99" spans="1:27" ht="14.25" x14ac:dyDescent="0.2">
      <c r="A99" s="23"/>
      <c r="B99" s="23"/>
      <c r="C99" s="24"/>
      <c r="D99" s="24" t="s">
        <v>281</v>
      </c>
      <c r="E99" s="25"/>
      <c r="F99" s="10"/>
      <c r="G99" s="27">
        <f>Source!AL33</f>
        <v>27.23</v>
      </c>
      <c r="H99" s="26" t="str">
        <f>Source!DD33</f>
        <v/>
      </c>
      <c r="I99" s="10">
        <f>Source!AW33</f>
        <v>1.081</v>
      </c>
      <c r="J99" s="28">
        <f>ROUND((ROUND((Source!AC33*Source!AW33*Source!I33),2)),2)</f>
        <v>5.3</v>
      </c>
      <c r="K99" s="10">
        <f>IF(Source!BC33&lt;&gt; 0, Source!BC33, 1)</f>
        <v>5.29</v>
      </c>
      <c r="L99" s="28">
        <f>Source!P33</f>
        <v>28.04</v>
      </c>
    </row>
    <row r="100" spans="1:27" ht="14.25" x14ac:dyDescent="0.2">
      <c r="A100" s="23"/>
      <c r="B100" s="23"/>
      <c r="C100" s="24"/>
      <c r="D100" s="24" t="s">
        <v>282</v>
      </c>
      <c r="E100" s="25" t="s">
        <v>283</v>
      </c>
      <c r="F100" s="10">
        <f>Source!DN33</f>
        <v>114</v>
      </c>
      <c r="G100" s="27"/>
      <c r="H100" s="26"/>
      <c r="I100" s="10"/>
      <c r="J100" s="28">
        <f>SUM(Q94:Q99)</f>
        <v>52.16</v>
      </c>
      <c r="K100" s="10">
        <f>Source!BZ33</f>
        <v>77</v>
      </c>
      <c r="L100" s="28">
        <f>SUM(R94:R99)</f>
        <v>874.35</v>
      </c>
    </row>
    <row r="101" spans="1:27" ht="14.25" x14ac:dyDescent="0.2">
      <c r="A101" s="23"/>
      <c r="B101" s="23"/>
      <c r="C101" s="24"/>
      <c r="D101" s="24" t="s">
        <v>284</v>
      </c>
      <c r="E101" s="25" t="s">
        <v>283</v>
      </c>
      <c r="F101" s="10">
        <f>Source!DO33</f>
        <v>67</v>
      </c>
      <c r="G101" s="27"/>
      <c r="H101" s="26"/>
      <c r="I101" s="10"/>
      <c r="J101" s="28">
        <f>SUM(S94:S100)</f>
        <v>30.65</v>
      </c>
      <c r="K101" s="10">
        <f>Source!CA33</f>
        <v>41</v>
      </c>
      <c r="L101" s="28">
        <f>SUM(T94:T100)</f>
        <v>465.56</v>
      </c>
    </row>
    <row r="102" spans="1:27" ht="14.25" x14ac:dyDescent="0.2">
      <c r="A102" s="23"/>
      <c r="B102" s="23"/>
      <c r="C102" s="24"/>
      <c r="D102" s="24" t="s">
        <v>285</v>
      </c>
      <c r="E102" s="25" t="s">
        <v>283</v>
      </c>
      <c r="F102" s="10">
        <f>175</f>
        <v>175</v>
      </c>
      <c r="G102" s="27"/>
      <c r="H102" s="26"/>
      <c r="I102" s="10"/>
      <c r="J102" s="28">
        <f>SUM(U94:U101)</f>
        <v>30.28</v>
      </c>
      <c r="K102" s="10">
        <f>157</f>
        <v>157</v>
      </c>
      <c r="L102" s="28">
        <f>SUM(V94:V101)</f>
        <v>674.14</v>
      </c>
    </row>
    <row r="103" spans="1:27" ht="14.25" x14ac:dyDescent="0.2">
      <c r="A103" s="23"/>
      <c r="B103" s="23"/>
      <c r="C103" s="24"/>
      <c r="D103" s="24" t="s">
        <v>286</v>
      </c>
      <c r="E103" s="25" t="s">
        <v>287</v>
      </c>
      <c r="F103" s="10">
        <f>Source!AQ33</f>
        <v>16.100000000000001</v>
      </c>
      <c r="G103" s="27"/>
      <c r="H103" s="26" t="str">
        <f>Source!DI33</f>
        <v>)*1,2</v>
      </c>
      <c r="I103" s="10">
        <f>Source!AV33</f>
        <v>1.0669999999999999</v>
      </c>
      <c r="J103" s="28">
        <f>Source!U33</f>
        <v>3.7105991999999994</v>
      </c>
      <c r="K103" s="10"/>
      <c r="L103" s="28"/>
    </row>
    <row r="104" spans="1:27" ht="15" x14ac:dyDescent="0.25">
      <c r="A104" s="31"/>
      <c r="B104" s="31"/>
      <c r="C104" s="31"/>
      <c r="D104" s="31"/>
      <c r="E104" s="31"/>
      <c r="F104" s="31"/>
      <c r="G104" s="31"/>
      <c r="H104" s="31"/>
      <c r="I104" s="56">
        <f>J96+J97+J99+J100+J101+J102</f>
        <v>271.02</v>
      </c>
      <c r="J104" s="56"/>
      <c r="K104" s="56">
        <f>L96+L97+L99+L100+L101+L102</f>
        <v>3767.5899999999997</v>
      </c>
      <c r="L104" s="56"/>
      <c r="O104" s="30">
        <f>J96+J97+J99+J100+J101+J102</f>
        <v>271.02</v>
      </c>
      <c r="P104" s="30">
        <f>L96+L97+L99+L100+L101+L102</f>
        <v>3767.5899999999997</v>
      </c>
      <c r="X104">
        <f>IF(Source!BI33&lt;=1,J96+J97+J99+J100+J101+J102-0, 0)</f>
        <v>0</v>
      </c>
      <c r="Y104">
        <f>IF(Source!BI33=2,J96+J97+J99+J100+J101+J102-0, 0)</f>
        <v>271.02</v>
      </c>
      <c r="Z104">
        <f>IF(Source!BI33=3,J96+J97+J99+J100+J101+J102-0, 0)</f>
        <v>0</v>
      </c>
      <c r="AA104">
        <f>IF(Source!BI33=4,J96+J97+J99+J100+J101+J102,0)</f>
        <v>0</v>
      </c>
    </row>
    <row r="105" spans="1:27" ht="85.5" x14ac:dyDescent="0.2">
      <c r="A105" s="23">
        <v>7</v>
      </c>
      <c r="B105" s="23" t="str">
        <f>Source!E34</f>
        <v>7</v>
      </c>
      <c r="C105" s="24" t="str">
        <f>Source!F34</f>
        <v>4.8-79-3</v>
      </c>
      <c r="D105" s="24" t="s">
        <v>61</v>
      </c>
      <c r="E105" s="25" t="str">
        <f>Source!H34</f>
        <v>100 м</v>
      </c>
      <c r="F105" s="10">
        <f>Source!I34</f>
        <v>0.18</v>
      </c>
      <c r="G105" s="27"/>
      <c r="H105" s="26"/>
      <c r="I105" s="10"/>
      <c r="J105" s="28"/>
      <c r="K105" s="10"/>
      <c r="L105" s="28"/>
      <c r="Q105">
        <f>ROUND((Source!DN34/100)*ROUND((ROUND((Source!AF34*Source!AV34*Source!I34),2)),2), 2)</f>
        <v>15.65</v>
      </c>
      <c r="R105">
        <f>Source!X34</f>
        <v>262.39999999999998</v>
      </c>
      <c r="S105">
        <f>ROUND((Source!DO34/100)*ROUND((ROUND((Source!AF34*Source!AV34*Source!I34),2)),2), 2)</f>
        <v>9.1999999999999993</v>
      </c>
      <c r="T105">
        <f>Source!Y34</f>
        <v>139.72</v>
      </c>
      <c r="U105">
        <f>ROUND((175/100)*ROUND((ROUND((Source!AE34*Source!AV34*Source!I34),2)),2), 2)</f>
        <v>9.08</v>
      </c>
      <c r="V105">
        <f>ROUND((157/100)*ROUND(ROUND((ROUND((Source!AE34*Source!AV34*Source!I34),2)*Source!BS34),2), 2), 2)</f>
        <v>202.25</v>
      </c>
    </row>
    <row r="106" spans="1:27" x14ac:dyDescent="0.2">
      <c r="D106" s="32" t="str">
        <f>"Объем: "&amp;Source!I34&amp;"=18/"&amp;"100"</f>
        <v>Объем: 0,18=18/100</v>
      </c>
    </row>
    <row r="107" spans="1:27" ht="28.5" x14ac:dyDescent="0.2">
      <c r="A107" s="23"/>
      <c r="B107" s="23"/>
      <c r="C107" s="24"/>
      <c r="D107" s="24" t="s">
        <v>278</v>
      </c>
      <c r="E107" s="25"/>
      <c r="F107" s="10"/>
      <c r="G107" s="27">
        <f>Source!AO34</f>
        <v>198.51</v>
      </c>
      <c r="H107" s="26" t="str">
        <f>Source!DG34</f>
        <v>)*1,2)*0,3</v>
      </c>
      <c r="I107" s="10">
        <f>Source!AV34</f>
        <v>1.0669999999999999</v>
      </c>
      <c r="J107" s="28">
        <f>ROUND((ROUND((Source!AF34*Source!AV34*Source!I34),2)),2)</f>
        <v>13.73</v>
      </c>
      <c r="K107" s="10">
        <f>IF(Source!BA34&lt;&gt; 0, Source!BA34, 1)</f>
        <v>24.82</v>
      </c>
      <c r="L107" s="28">
        <f>Source!S34</f>
        <v>340.78</v>
      </c>
      <c r="W107">
        <f>J107</f>
        <v>13.73</v>
      </c>
    </row>
    <row r="108" spans="1:27" ht="28.5" x14ac:dyDescent="0.2">
      <c r="A108" s="23"/>
      <c r="B108" s="23"/>
      <c r="C108" s="24"/>
      <c r="D108" s="24" t="s">
        <v>279</v>
      </c>
      <c r="E108" s="25"/>
      <c r="F108" s="10"/>
      <c r="G108" s="27">
        <f>Source!AM34</f>
        <v>463.73</v>
      </c>
      <c r="H108" s="26" t="str">
        <f>Source!DE34</f>
        <v>)*1,2)*0,3</v>
      </c>
      <c r="I108" s="10">
        <f>Source!AV34</f>
        <v>1.0669999999999999</v>
      </c>
      <c r="J108" s="28">
        <f>(ROUND((ROUND(((((Source!ET34*1.2)*0.3))*Source!AV34*Source!I34),2)),2)+ROUND((ROUND(((Source!AE34-(((Source!EU34*1.2)*0.3)))*Source!AV34*Source!I34),2)),2))</f>
        <v>32.06</v>
      </c>
      <c r="K108" s="10">
        <f>IF(Source!BB34&lt;&gt; 0, Source!BB34, 1)</f>
        <v>5.52</v>
      </c>
      <c r="L108" s="28">
        <f>Source!Q34</f>
        <v>176.97</v>
      </c>
    </row>
    <row r="109" spans="1:27" ht="28.5" x14ac:dyDescent="0.2">
      <c r="A109" s="23"/>
      <c r="B109" s="23"/>
      <c r="C109" s="24"/>
      <c r="D109" s="24" t="s">
        <v>280</v>
      </c>
      <c r="E109" s="25"/>
      <c r="F109" s="10"/>
      <c r="G109" s="27">
        <f>Source!AN34</f>
        <v>75.08</v>
      </c>
      <c r="H109" s="26" t="str">
        <f>Source!DF34</f>
        <v>)*1,2)*0,3</v>
      </c>
      <c r="I109" s="10">
        <f>Source!AV34</f>
        <v>1.0669999999999999</v>
      </c>
      <c r="J109" s="29">
        <f>ROUND((ROUND((Source!AE34*Source!AV34*Source!I34),2)),2)</f>
        <v>5.19</v>
      </c>
      <c r="K109" s="10">
        <f>IF(Source!BS34&lt;&gt; 0, Source!BS34, 1)</f>
        <v>24.82</v>
      </c>
      <c r="L109" s="29">
        <f>Source!R34</f>
        <v>128.82</v>
      </c>
      <c r="W109">
        <f>J109</f>
        <v>5.19</v>
      </c>
    </row>
    <row r="110" spans="1:27" ht="14.25" x14ac:dyDescent="0.2">
      <c r="A110" s="23"/>
      <c r="B110" s="23"/>
      <c r="C110" s="24"/>
      <c r="D110" s="24" t="s">
        <v>282</v>
      </c>
      <c r="E110" s="25" t="s">
        <v>283</v>
      </c>
      <c r="F110" s="10">
        <f>Source!DN34</f>
        <v>114</v>
      </c>
      <c r="G110" s="27"/>
      <c r="H110" s="26"/>
      <c r="I110" s="10"/>
      <c r="J110" s="28">
        <f>SUM(Q105:Q109)</f>
        <v>15.65</v>
      </c>
      <c r="K110" s="10">
        <f>Source!BZ34</f>
        <v>77</v>
      </c>
      <c r="L110" s="28">
        <f>SUM(R105:R109)</f>
        <v>262.39999999999998</v>
      </c>
    </row>
    <row r="111" spans="1:27" ht="14.25" x14ac:dyDescent="0.2">
      <c r="A111" s="23"/>
      <c r="B111" s="23"/>
      <c r="C111" s="24"/>
      <c r="D111" s="24" t="s">
        <v>284</v>
      </c>
      <c r="E111" s="25" t="s">
        <v>283</v>
      </c>
      <c r="F111" s="10">
        <f>Source!DO34</f>
        <v>67</v>
      </c>
      <c r="G111" s="27"/>
      <c r="H111" s="26"/>
      <c r="I111" s="10"/>
      <c r="J111" s="28">
        <f>SUM(S105:S110)</f>
        <v>9.1999999999999993</v>
      </c>
      <c r="K111" s="10">
        <f>Source!CA34</f>
        <v>41</v>
      </c>
      <c r="L111" s="28">
        <f>SUM(T105:T110)</f>
        <v>139.72</v>
      </c>
    </row>
    <row r="112" spans="1:27" ht="14.25" x14ac:dyDescent="0.2">
      <c r="A112" s="23"/>
      <c r="B112" s="23"/>
      <c r="C112" s="24"/>
      <c r="D112" s="24" t="s">
        <v>285</v>
      </c>
      <c r="E112" s="25" t="s">
        <v>283</v>
      </c>
      <c r="F112" s="10">
        <f>175</f>
        <v>175</v>
      </c>
      <c r="G112" s="27"/>
      <c r="H112" s="26"/>
      <c r="I112" s="10"/>
      <c r="J112" s="28">
        <f>SUM(U105:U111)</f>
        <v>9.08</v>
      </c>
      <c r="K112" s="10">
        <f>157</f>
        <v>157</v>
      </c>
      <c r="L112" s="28">
        <f>SUM(V105:V111)</f>
        <v>202.25</v>
      </c>
    </row>
    <row r="113" spans="1:27" ht="28.5" x14ac:dyDescent="0.2">
      <c r="A113" s="23"/>
      <c r="B113" s="23"/>
      <c r="C113" s="24"/>
      <c r="D113" s="24" t="s">
        <v>286</v>
      </c>
      <c r="E113" s="25" t="s">
        <v>287</v>
      </c>
      <c r="F113" s="10">
        <f>Source!AQ34</f>
        <v>16.100000000000001</v>
      </c>
      <c r="G113" s="27"/>
      <c r="H113" s="26" t="str">
        <f>Source!DI34</f>
        <v>)*1,2)*0,3</v>
      </c>
      <c r="I113" s="10">
        <f>Source!AV34</f>
        <v>1.0669999999999999</v>
      </c>
      <c r="J113" s="28">
        <f>Source!U34</f>
        <v>1.11317976</v>
      </c>
      <c r="K113" s="10"/>
      <c r="L113" s="28"/>
    </row>
    <row r="114" spans="1:27" ht="15" x14ac:dyDescent="0.25">
      <c r="A114" s="31"/>
      <c r="B114" s="31"/>
      <c r="C114" s="31"/>
      <c r="D114" s="31"/>
      <c r="E114" s="31"/>
      <c r="F114" s="31"/>
      <c r="G114" s="31"/>
      <c r="H114" s="31"/>
      <c r="I114" s="56">
        <f>J107+J108+J110+J111+J112</f>
        <v>79.72</v>
      </c>
      <c r="J114" s="56"/>
      <c r="K114" s="56">
        <f>L107+L108+L110+L111+L112</f>
        <v>1122.1199999999999</v>
      </c>
      <c r="L114" s="56"/>
      <c r="O114" s="30">
        <f>J107+J108+J110+J111+J112</f>
        <v>79.72</v>
      </c>
      <c r="P114" s="30">
        <f>L107+L108+L110+L111+L112</f>
        <v>1122.1199999999999</v>
      </c>
      <c r="X114">
        <f>IF(Source!BI34&lt;=1,J107+J108+J110+J111+J112-0, 0)</f>
        <v>0</v>
      </c>
      <c r="Y114">
        <f>IF(Source!BI34=2,J107+J108+J110+J111+J112-0, 0)</f>
        <v>79.72</v>
      </c>
      <c r="Z114">
        <f>IF(Source!BI34=3,J107+J108+J110+J111+J112-0, 0)</f>
        <v>0</v>
      </c>
      <c r="AA114">
        <f>IF(Source!BI34=4,J107+J108+J110+J111+J112,0)</f>
        <v>0</v>
      </c>
    </row>
    <row r="115" spans="1:27" ht="85.5" x14ac:dyDescent="0.2">
      <c r="A115" s="23">
        <v>8</v>
      </c>
      <c r="B115" s="23" t="str">
        <f>Source!E35</f>
        <v>8</v>
      </c>
      <c r="C115" s="24" t="str">
        <f>Source!F35</f>
        <v>4.8-79-4</v>
      </c>
      <c r="D115" s="24" t="s">
        <v>64</v>
      </c>
      <c r="E115" s="25" t="str">
        <f>Source!H35</f>
        <v>100 м</v>
      </c>
      <c r="F115" s="10">
        <f>Source!I35</f>
        <v>0.36</v>
      </c>
      <c r="G115" s="27"/>
      <c r="H115" s="26"/>
      <c r="I115" s="10"/>
      <c r="J115" s="28"/>
      <c r="K115" s="10"/>
      <c r="L115" s="28"/>
      <c r="Q115">
        <f>ROUND((Source!DN35/100)*ROUND((ROUND((Source!AF35*Source!AV35*Source!I35),2)),2), 2)</f>
        <v>141.25</v>
      </c>
      <c r="R115">
        <f>Source!X35</f>
        <v>2340.2399999999998</v>
      </c>
      <c r="S115">
        <f>ROUND((Source!DO35/100)*ROUND((ROUND((Source!AF35*Source!AV35*Source!I35),2)),2), 2)</f>
        <v>83.01</v>
      </c>
      <c r="T115">
        <f>Source!Y35</f>
        <v>1246.0999999999999</v>
      </c>
      <c r="U115">
        <f>ROUND((175/100)*ROUND((ROUND((Source!AE35*Source!AV35*Source!I35),2)),2), 2)</f>
        <v>87.15</v>
      </c>
      <c r="V115">
        <f>ROUND((157/100)*ROUND(ROUND((ROUND((Source!AE35*Source!AV35*Source!I35),2)*Source!BS35),2), 2), 2)</f>
        <v>1917.9</v>
      </c>
    </row>
    <row r="116" spans="1:27" x14ac:dyDescent="0.2">
      <c r="D116" s="32" t="str">
        <f>"Объем: "&amp;Source!I35&amp;"=36/"&amp;"100"</f>
        <v>Объем: 0,36=36/100</v>
      </c>
    </row>
    <row r="117" spans="1:27" ht="14.25" x14ac:dyDescent="0.2">
      <c r="A117" s="23"/>
      <c r="B117" s="23"/>
      <c r="C117" s="24"/>
      <c r="D117" s="24" t="s">
        <v>278</v>
      </c>
      <c r="E117" s="25"/>
      <c r="F117" s="10"/>
      <c r="G117" s="27">
        <f>Source!AO35</f>
        <v>268.79000000000002</v>
      </c>
      <c r="H117" s="26" t="str">
        <f>Source!DG35</f>
        <v>)*1,2</v>
      </c>
      <c r="I117" s="10">
        <f>Source!AV35</f>
        <v>1.0669999999999999</v>
      </c>
      <c r="J117" s="28">
        <f>ROUND((ROUND((Source!AF35*Source!AV35*Source!I35),2)),2)</f>
        <v>123.9</v>
      </c>
      <c r="K117" s="10">
        <f>IF(Source!BA35&lt;&gt; 0, Source!BA35, 1)</f>
        <v>24.53</v>
      </c>
      <c r="L117" s="28">
        <f>Source!S35</f>
        <v>3039.27</v>
      </c>
      <c r="W117">
        <f>J117</f>
        <v>123.9</v>
      </c>
    </row>
    <row r="118" spans="1:27" ht="14.25" x14ac:dyDescent="0.2">
      <c r="A118" s="23"/>
      <c r="B118" s="23"/>
      <c r="C118" s="24"/>
      <c r="D118" s="24" t="s">
        <v>279</v>
      </c>
      <c r="E118" s="25"/>
      <c r="F118" s="10"/>
      <c r="G118" s="27">
        <f>Source!AM35</f>
        <v>652.54999999999995</v>
      </c>
      <c r="H118" s="26" t="str">
        <f>Source!DE35</f>
        <v>)*1,2</v>
      </c>
      <c r="I118" s="10">
        <f>Source!AV35</f>
        <v>1.0669999999999999</v>
      </c>
      <c r="J118" s="28">
        <f>(ROUND((ROUND((((Source!ET35*1.2))*Source!AV35*Source!I35),2)),2)+ROUND((ROUND(((Source!AE35-((Source!EU35*1.2)))*Source!AV35*Source!I35),2)),2))</f>
        <v>300.79000000000002</v>
      </c>
      <c r="K118" s="10">
        <f>IF(Source!BB35&lt;&gt; 0, Source!BB35, 1)</f>
        <v>5.65</v>
      </c>
      <c r="L118" s="28">
        <f>Source!Q35</f>
        <v>1699.46</v>
      </c>
    </row>
    <row r="119" spans="1:27" ht="14.25" x14ac:dyDescent="0.2">
      <c r="A119" s="23"/>
      <c r="B119" s="23"/>
      <c r="C119" s="24"/>
      <c r="D119" s="24" t="s">
        <v>280</v>
      </c>
      <c r="E119" s="25"/>
      <c r="F119" s="10"/>
      <c r="G119" s="27">
        <f>Source!AN35</f>
        <v>108.03</v>
      </c>
      <c r="H119" s="26" t="str">
        <f>Source!DF35</f>
        <v>)*1,2</v>
      </c>
      <c r="I119" s="10">
        <f>Source!AV35</f>
        <v>1.0669999999999999</v>
      </c>
      <c r="J119" s="29">
        <f>ROUND((ROUND((Source!AE35*Source!AV35*Source!I35),2)),2)</f>
        <v>49.8</v>
      </c>
      <c r="K119" s="10">
        <f>IF(Source!BS35&lt;&gt; 0, Source!BS35, 1)</f>
        <v>24.53</v>
      </c>
      <c r="L119" s="29">
        <f>Source!R35</f>
        <v>1221.5899999999999</v>
      </c>
      <c r="W119">
        <f>J119</f>
        <v>49.8</v>
      </c>
    </row>
    <row r="120" spans="1:27" ht="14.25" x14ac:dyDescent="0.2">
      <c r="A120" s="23"/>
      <c r="B120" s="23"/>
      <c r="C120" s="24"/>
      <c r="D120" s="24" t="s">
        <v>281</v>
      </c>
      <c r="E120" s="25"/>
      <c r="F120" s="10"/>
      <c r="G120" s="27">
        <f>Source!AL35</f>
        <v>28.07</v>
      </c>
      <c r="H120" s="26" t="str">
        <f>Source!DD35</f>
        <v/>
      </c>
      <c r="I120" s="10">
        <f>Source!AW35</f>
        <v>1.081</v>
      </c>
      <c r="J120" s="28">
        <f>ROUND((ROUND((Source!AC35*Source!AW35*Source!I35),2)),2)</f>
        <v>10.92</v>
      </c>
      <c r="K120" s="10">
        <f>IF(Source!BC35&lt;&gt; 0, Source!BC35, 1)</f>
        <v>5.29</v>
      </c>
      <c r="L120" s="28">
        <f>Source!P35</f>
        <v>57.77</v>
      </c>
    </row>
    <row r="121" spans="1:27" ht="14.25" x14ac:dyDescent="0.2">
      <c r="A121" s="23"/>
      <c r="B121" s="23"/>
      <c r="C121" s="24"/>
      <c r="D121" s="24" t="s">
        <v>282</v>
      </c>
      <c r="E121" s="25" t="s">
        <v>283</v>
      </c>
      <c r="F121" s="10">
        <f>Source!DN35</f>
        <v>114</v>
      </c>
      <c r="G121" s="27"/>
      <c r="H121" s="26"/>
      <c r="I121" s="10"/>
      <c r="J121" s="28">
        <f>SUM(Q115:Q120)</f>
        <v>141.25</v>
      </c>
      <c r="K121" s="10">
        <f>Source!BZ35</f>
        <v>77</v>
      </c>
      <c r="L121" s="28">
        <f>SUM(R115:R120)</f>
        <v>2340.2399999999998</v>
      </c>
    </row>
    <row r="122" spans="1:27" ht="14.25" x14ac:dyDescent="0.2">
      <c r="A122" s="23"/>
      <c r="B122" s="23"/>
      <c r="C122" s="24"/>
      <c r="D122" s="24" t="s">
        <v>284</v>
      </c>
      <c r="E122" s="25" t="s">
        <v>283</v>
      </c>
      <c r="F122" s="10">
        <f>Source!DO35</f>
        <v>67</v>
      </c>
      <c r="G122" s="27"/>
      <c r="H122" s="26"/>
      <c r="I122" s="10"/>
      <c r="J122" s="28">
        <f>SUM(S115:S121)</f>
        <v>83.01</v>
      </c>
      <c r="K122" s="10">
        <f>Source!CA35</f>
        <v>41</v>
      </c>
      <c r="L122" s="28">
        <f>SUM(T115:T121)</f>
        <v>1246.0999999999999</v>
      </c>
    </row>
    <row r="123" spans="1:27" ht="14.25" x14ac:dyDescent="0.2">
      <c r="A123" s="23"/>
      <c r="B123" s="23"/>
      <c r="C123" s="24"/>
      <c r="D123" s="24" t="s">
        <v>285</v>
      </c>
      <c r="E123" s="25" t="s">
        <v>283</v>
      </c>
      <c r="F123" s="10">
        <f>175</f>
        <v>175</v>
      </c>
      <c r="G123" s="27"/>
      <c r="H123" s="26"/>
      <c r="I123" s="10"/>
      <c r="J123" s="28">
        <f>SUM(U115:U122)</f>
        <v>87.15</v>
      </c>
      <c r="K123" s="10">
        <f>157</f>
        <v>157</v>
      </c>
      <c r="L123" s="28">
        <f>SUM(V115:V122)</f>
        <v>1917.9</v>
      </c>
    </row>
    <row r="124" spans="1:27" ht="14.25" x14ac:dyDescent="0.2">
      <c r="A124" s="23"/>
      <c r="B124" s="23"/>
      <c r="C124" s="24"/>
      <c r="D124" s="24" t="s">
        <v>286</v>
      </c>
      <c r="E124" s="25" t="s">
        <v>287</v>
      </c>
      <c r="F124" s="10">
        <f>Source!AQ35</f>
        <v>21.8</v>
      </c>
      <c r="G124" s="27"/>
      <c r="H124" s="26" t="str">
        <f>Source!DI35</f>
        <v>)*1,2</v>
      </c>
      <c r="I124" s="10">
        <f>Source!AV35</f>
        <v>1.0669999999999999</v>
      </c>
      <c r="J124" s="28">
        <f>Source!U35</f>
        <v>10.048579199999999</v>
      </c>
      <c r="K124" s="10"/>
      <c r="L124" s="28"/>
    </row>
    <row r="125" spans="1:27" ht="15" x14ac:dyDescent="0.25">
      <c r="A125" s="31"/>
      <c r="B125" s="31"/>
      <c r="C125" s="31"/>
      <c r="D125" s="31"/>
      <c r="E125" s="31"/>
      <c r="F125" s="31"/>
      <c r="G125" s="31"/>
      <c r="H125" s="31"/>
      <c r="I125" s="56">
        <f>J117+J118+J120+J121+J122+J123</f>
        <v>747.0200000000001</v>
      </c>
      <c r="J125" s="56"/>
      <c r="K125" s="56">
        <f>L117+L118+L120+L121+L122+L123</f>
        <v>10300.74</v>
      </c>
      <c r="L125" s="56"/>
      <c r="O125" s="30">
        <f>J117+J118+J120+J121+J122+J123</f>
        <v>747.0200000000001</v>
      </c>
      <c r="P125" s="30">
        <f>L117+L118+L120+L121+L122+L123</f>
        <v>10300.74</v>
      </c>
      <c r="X125">
        <f>IF(Source!BI35&lt;=1,J117+J118+J120+J121+J122+J123-0, 0)</f>
        <v>0</v>
      </c>
      <c r="Y125">
        <f>IF(Source!BI35=2,J117+J118+J120+J121+J122+J123-0, 0)</f>
        <v>747.0200000000001</v>
      </c>
      <c r="Z125">
        <f>IF(Source!BI35=3,J117+J118+J120+J121+J122+J123-0, 0)</f>
        <v>0</v>
      </c>
      <c r="AA125">
        <f>IF(Source!BI35=4,J117+J118+J120+J121+J122+J123,0)</f>
        <v>0</v>
      </c>
    </row>
    <row r="126" spans="1:27" ht="85.5" x14ac:dyDescent="0.2">
      <c r="A126" s="23">
        <v>9</v>
      </c>
      <c r="B126" s="23" t="str">
        <f>Source!E36</f>
        <v>9</v>
      </c>
      <c r="C126" s="24" t="str">
        <f>Source!F36</f>
        <v>4.8-79-4</v>
      </c>
      <c r="D126" s="24" t="s">
        <v>67</v>
      </c>
      <c r="E126" s="25" t="str">
        <f>Source!H36</f>
        <v>100 м</v>
      </c>
      <c r="F126" s="10">
        <f>Source!I36</f>
        <v>0.36</v>
      </c>
      <c r="G126" s="27"/>
      <c r="H126" s="26"/>
      <c r="I126" s="10"/>
      <c r="J126" s="28"/>
      <c r="K126" s="10"/>
      <c r="L126" s="28"/>
      <c r="Q126">
        <f>ROUND((Source!DN36/100)*ROUND((ROUND((Source!AF36*Source!AV36*Source!I36),2)),2), 2)</f>
        <v>42.37</v>
      </c>
      <c r="R126">
        <f>Source!X36</f>
        <v>702.07</v>
      </c>
      <c r="S126">
        <f>ROUND((Source!DO36/100)*ROUND((ROUND((Source!AF36*Source!AV36*Source!I36),2)),2), 2)</f>
        <v>24.9</v>
      </c>
      <c r="T126">
        <f>Source!Y36</f>
        <v>373.83</v>
      </c>
      <c r="U126">
        <f>ROUND((175/100)*ROUND((ROUND((Source!AE36*Source!AV36*Source!I36),2)),2), 2)</f>
        <v>26.15</v>
      </c>
      <c r="V126">
        <f>ROUND((157/100)*ROUND(ROUND((ROUND((Source!AE36*Source!AV36*Source!I36),2)*Source!BS36),2), 2), 2)</f>
        <v>575.37</v>
      </c>
    </row>
    <row r="127" spans="1:27" x14ac:dyDescent="0.2">
      <c r="D127" s="32" t="str">
        <f>"Объем: "&amp;Source!I36&amp;"=36/"&amp;"100"</f>
        <v>Объем: 0,36=36/100</v>
      </c>
    </row>
    <row r="128" spans="1:27" ht="28.5" x14ac:dyDescent="0.2">
      <c r="A128" s="23"/>
      <c r="B128" s="23"/>
      <c r="C128" s="24"/>
      <c r="D128" s="24" t="s">
        <v>278</v>
      </c>
      <c r="E128" s="25"/>
      <c r="F128" s="10"/>
      <c r="G128" s="27">
        <f>Source!AO36</f>
        <v>268.79000000000002</v>
      </c>
      <c r="H128" s="26" t="str">
        <f>Source!DG36</f>
        <v>)*0,3)*1,2</v>
      </c>
      <c r="I128" s="10">
        <f>Source!AV36</f>
        <v>1.0669999999999999</v>
      </c>
      <c r="J128" s="28">
        <f>ROUND((ROUND((Source!AF36*Source!AV36*Source!I36),2)),2)</f>
        <v>37.17</v>
      </c>
      <c r="K128" s="10">
        <f>IF(Source!BA36&lt;&gt; 0, Source!BA36, 1)</f>
        <v>24.53</v>
      </c>
      <c r="L128" s="28">
        <f>Source!S36</f>
        <v>911.78</v>
      </c>
      <c r="W128">
        <f>J128</f>
        <v>37.17</v>
      </c>
    </row>
    <row r="129" spans="1:27" ht="28.5" x14ac:dyDescent="0.2">
      <c r="A129" s="23"/>
      <c r="B129" s="23"/>
      <c r="C129" s="24"/>
      <c r="D129" s="24" t="s">
        <v>279</v>
      </c>
      <c r="E129" s="25"/>
      <c r="F129" s="10"/>
      <c r="G129" s="27">
        <f>Source!AM36</f>
        <v>652.54999999999995</v>
      </c>
      <c r="H129" s="26" t="str">
        <f>Source!DE36</f>
        <v>)*0,3)*1,2</v>
      </c>
      <c r="I129" s="10">
        <f>Source!AV36</f>
        <v>1.0669999999999999</v>
      </c>
      <c r="J129" s="28">
        <f>(ROUND((ROUND(((((Source!ET36*0.3)*1.2))*Source!AV36*Source!I36),2)),2)+ROUND((ROUND(((Source!AE36-(((Source!EU36*0.3)*1.2)))*Source!AV36*Source!I36),2)),2))</f>
        <v>90.24</v>
      </c>
      <c r="K129" s="10">
        <f>IF(Source!BB36&lt;&gt; 0, Source!BB36, 1)</f>
        <v>5.65</v>
      </c>
      <c r="L129" s="28">
        <f>Source!Q36</f>
        <v>509.86</v>
      </c>
    </row>
    <row r="130" spans="1:27" ht="28.5" x14ac:dyDescent="0.2">
      <c r="A130" s="23"/>
      <c r="B130" s="23"/>
      <c r="C130" s="24"/>
      <c r="D130" s="24" t="s">
        <v>280</v>
      </c>
      <c r="E130" s="25"/>
      <c r="F130" s="10"/>
      <c r="G130" s="27">
        <f>Source!AN36</f>
        <v>108.03</v>
      </c>
      <c r="H130" s="26" t="str">
        <f>Source!DF36</f>
        <v>)*0,3)*1,2</v>
      </c>
      <c r="I130" s="10">
        <f>Source!AV36</f>
        <v>1.0669999999999999</v>
      </c>
      <c r="J130" s="29">
        <f>ROUND((ROUND((Source!AE36*Source!AV36*Source!I36),2)),2)</f>
        <v>14.94</v>
      </c>
      <c r="K130" s="10">
        <f>IF(Source!BS36&lt;&gt; 0, Source!BS36, 1)</f>
        <v>24.53</v>
      </c>
      <c r="L130" s="29">
        <f>Source!R36</f>
        <v>366.48</v>
      </c>
      <c r="W130">
        <f>J130</f>
        <v>14.94</v>
      </c>
    </row>
    <row r="131" spans="1:27" ht="14.25" x14ac:dyDescent="0.2">
      <c r="A131" s="23"/>
      <c r="B131" s="23"/>
      <c r="C131" s="24"/>
      <c r="D131" s="24" t="s">
        <v>282</v>
      </c>
      <c r="E131" s="25" t="s">
        <v>283</v>
      </c>
      <c r="F131" s="10">
        <f>Source!DN36</f>
        <v>114</v>
      </c>
      <c r="G131" s="27"/>
      <c r="H131" s="26"/>
      <c r="I131" s="10"/>
      <c r="J131" s="28">
        <f>SUM(Q126:Q130)</f>
        <v>42.37</v>
      </c>
      <c r="K131" s="10">
        <f>Source!BZ36</f>
        <v>77</v>
      </c>
      <c r="L131" s="28">
        <f>SUM(R126:R130)</f>
        <v>702.07</v>
      </c>
    </row>
    <row r="132" spans="1:27" ht="14.25" x14ac:dyDescent="0.2">
      <c r="A132" s="23"/>
      <c r="B132" s="23"/>
      <c r="C132" s="24"/>
      <c r="D132" s="24" t="s">
        <v>284</v>
      </c>
      <c r="E132" s="25" t="s">
        <v>283</v>
      </c>
      <c r="F132" s="10">
        <f>Source!DO36</f>
        <v>67</v>
      </c>
      <c r="G132" s="27"/>
      <c r="H132" s="26"/>
      <c r="I132" s="10"/>
      <c r="J132" s="28">
        <f>SUM(S126:S131)</f>
        <v>24.9</v>
      </c>
      <c r="K132" s="10">
        <f>Source!CA36</f>
        <v>41</v>
      </c>
      <c r="L132" s="28">
        <f>SUM(T126:T131)</f>
        <v>373.83</v>
      </c>
    </row>
    <row r="133" spans="1:27" ht="14.25" x14ac:dyDescent="0.2">
      <c r="A133" s="23"/>
      <c r="B133" s="23"/>
      <c r="C133" s="24"/>
      <c r="D133" s="24" t="s">
        <v>285</v>
      </c>
      <c r="E133" s="25" t="s">
        <v>283</v>
      </c>
      <c r="F133" s="10">
        <f>175</f>
        <v>175</v>
      </c>
      <c r="G133" s="27"/>
      <c r="H133" s="26"/>
      <c r="I133" s="10"/>
      <c r="J133" s="28">
        <f>SUM(U126:U132)</f>
        <v>26.15</v>
      </c>
      <c r="K133" s="10">
        <f>157</f>
        <v>157</v>
      </c>
      <c r="L133" s="28">
        <f>SUM(V126:V132)</f>
        <v>575.37</v>
      </c>
    </row>
    <row r="134" spans="1:27" ht="28.5" x14ac:dyDescent="0.2">
      <c r="A134" s="23"/>
      <c r="B134" s="23"/>
      <c r="C134" s="24"/>
      <c r="D134" s="24" t="s">
        <v>286</v>
      </c>
      <c r="E134" s="25" t="s">
        <v>287</v>
      </c>
      <c r="F134" s="10">
        <f>Source!AQ36</f>
        <v>21.8</v>
      </c>
      <c r="G134" s="27"/>
      <c r="H134" s="26" t="str">
        <f>Source!DI36</f>
        <v>)*0,3)*1,2</v>
      </c>
      <c r="I134" s="10">
        <f>Source!AV36</f>
        <v>1.0669999999999999</v>
      </c>
      <c r="J134" s="28">
        <f>Source!U36</f>
        <v>3.0145737599999998</v>
      </c>
      <c r="K134" s="10"/>
      <c r="L134" s="28"/>
    </row>
    <row r="135" spans="1:27" ht="15" x14ac:dyDescent="0.25">
      <c r="A135" s="31"/>
      <c r="B135" s="31"/>
      <c r="C135" s="31"/>
      <c r="D135" s="31"/>
      <c r="E135" s="31"/>
      <c r="F135" s="31"/>
      <c r="G135" s="31"/>
      <c r="H135" s="31"/>
      <c r="I135" s="56">
        <f>J128+J129+J131+J132+J133</f>
        <v>220.83</v>
      </c>
      <c r="J135" s="56"/>
      <c r="K135" s="56">
        <f>L128+L129+L131+L132+L133</f>
        <v>3072.91</v>
      </c>
      <c r="L135" s="56"/>
      <c r="O135" s="30">
        <f>J128+J129+J131+J132+J133</f>
        <v>220.83</v>
      </c>
      <c r="P135" s="30">
        <f>L128+L129+L131+L132+L133</f>
        <v>3072.91</v>
      </c>
      <c r="X135">
        <f>IF(Source!BI36&lt;=1,J128+J129+J131+J132+J133-0, 0)</f>
        <v>0</v>
      </c>
      <c r="Y135">
        <f>IF(Source!BI36=2,J128+J129+J131+J132+J133-0, 0)</f>
        <v>220.83</v>
      </c>
      <c r="Z135">
        <f>IF(Source!BI36=3,J128+J129+J131+J132+J133-0, 0)</f>
        <v>0</v>
      </c>
      <c r="AA135">
        <f>IF(Source!BI36=4,J128+J129+J131+J132+J133,0)</f>
        <v>0</v>
      </c>
    </row>
    <row r="136" spans="1:27" ht="42.75" x14ac:dyDescent="0.2">
      <c r="A136" s="23">
        <v>10</v>
      </c>
      <c r="B136" s="23" t="str">
        <f>Source!E37</f>
        <v>10</v>
      </c>
      <c r="C136" s="24" t="str">
        <f>Source!F37</f>
        <v>4.8-76-1</v>
      </c>
      <c r="D136" s="24" t="s">
        <v>72</v>
      </c>
      <c r="E136" s="25" t="str">
        <f>Source!H37</f>
        <v>100 шт.</v>
      </c>
      <c r="F136" s="10">
        <f>Source!I37</f>
        <v>0.43</v>
      </c>
      <c r="G136" s="27"/>
      <c r="H136" s="26"/>
      <c r="I136" s="10"/>
      <c r="J136" s="28"/>
      <c r="K136" s="10"/>
      <c r="L136" s="28"/>
      <c r="Q136">
        <f>ROUND((Source!DN37/100)*ROUND((ROUND((Source!AF37*Source!AV37*Source!I37),2)),2), 2)</f>
        <v>92.1</v>
      </c>
      <c r="R136">
        <f>Source!X37</f>
        <v>1525.97</v>
      </c>
      <c r="S136">
        <f>ROUND((Source!DO37/100)*ROUND((ROUND((Source!AF37*Source!AV37*Source!I37),2)),2), 2)</f>
        <v>54.13</v>
      </c>
      <c r="T136">
        <f>Source!Y37</f>
        <v>812.53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">
      <c r="D137" s="32" t="str">
        <f>"Объем: "&amp;Source!I37&amp;"=43/"&amp;"100"</f>
        <v>Объем: 0,43=43/100</v>
      </c>
    </row>
    <row r="138" spans="1:27" ht="14.25" x14ac:dyDescent="0.2">
      <c r="A138" s="23"/>
      <c r="B138" s="23"/>
      <c r="C138" s="24"/>
      <c r="D138" s="24" t="s">
        <v>278</v>
      </c>
      <c r="E138" s="25"/>
      <c r="F138" s="10"/>
      <c r="G138" s="27">
        <f>Source!AO37</f>
        <v>146.72999999999999</v>
      </c>
      <c r="H138" s="26" t="str">
        <f>Source!DG37</f>
        <v>)*1,2</v>
      </c>
      <c r="I138" s="10">
        <f>Source!AV37</f>
        <v>1.0669999999999999</v>
      </c>
      <c r="J138" s="28">
        <f>ROUND((ROUND((Source!AF37*Source!AV37*Source!I37),2)),2)</f>
        <v>80.790000000000006</v>
      </c>
      <c r="K138" s="10">
        <f>IF(Source!BA37&lt;&gt; 0, Source!BA37, 1)</f>
        <v>24.53</v>
      </c>
      <c r="L138" s="28">
        <f>Source!S37</f>
        <v>1981.78</v>
      </c>
      <c r="W138">
        <f>J138</f>
        <v>80.790000000000006</v>
      </c>
    </row>
    <row r="139" spans="1:27" ht="14.25" x14ac:dyDescent="0.2">
      <c r="A139" s="23"/>
      <c r="B139" s="23"/>
      <c r="C139" s="24"/>
      <c r="D139" s="24" t="s">
        <v>281</v>
      </c>
      <c r="E139" s="25"/>
      <c r="F139" s="10"/>
      <c r="G139" s="27">
        <f>Source!AL37</f>
        <v>1.26</v>
      </c>
      <c r="H139" s="26" t="str">
        <f>Source!DD37</f>
        <v/>
      </c>
      <c r="I139" s="10">
        <f>Source!AW37</f>
        <v>1.081</v>
      </c>
      <c r="J139" s="28">
        <f>ROUND((ROUND((Source!AC37*Source!AW37*Source!I37),2)),2)</f>
        <v>0.59</v>
      </c>
      <c r="K139" s="10">
        <f>IF(Source!BC37&lt;&gt; 0, Source!BC37, 1)</f>
        <v>5.29</v>
      </c>
      <c r="L139" s="28">
        <f>Source!P37</f>
        <v>3.12</v>
      </c>
    </row>
    <row r="140" spans="1:27" ht="14.25" x14ac:dyDescent="0.2">
      <c r="A140" s="23"/>
      <c r="B140" s="23"/>
      <c r="C140" s="24"/>
      <c r="D140" s="24" t="s">
        <v>282</v>
      </c>
      <c r="E140" s="25" t="s">
        <v>283</v>
      </c>
      <c r="F140" s="10">
        <f>Source!DN37</f>
        <v>114</v>
      </c>
      <c r="G140" s="27"/>
      <c r="H140" s="26"/>
      <c r="I140" s="10"/>
      <c r="J140" s="28">
        <f>SUM(Q136:Q139)</f>
        <v>92.1</v>
      </c>
      <c r="K140" s="10">
        <f>Source!BZ37</f>
        <v>77</v>
      </c>
      <c r="L140" s="28">
        <f>SUM(R136:R139)</f>
        <v>1525.97</v>
      </c>
    </row>
    <row r="141" spans="1:27" ht="14.25" x14ac:dyDescent="0.2">
      <c r="A141" s="23"/>
      <c r="B141" s="23"/>
      <c r="C141" s="24"/>
      <c r="D141" s="24" t="s">
        <v>284</v>
      </c>
      <c r="E141" s="25" t="s">
        <v>283</v>
      </c>
      <c r="F141" s="10">
        <f>Source!DO37</f>
        <v>67</v>
      </c>
      <c r="G141" s="27"/>
      <c r="H141" s="26"/>
      <c r="I141" s="10"/>
      <c r="J141" s="28">
        <f>SUM(S136:S140)</f>
        <v>54.13</v>
      </c>
      <c r="K141" s="10">
        <f>Source!CA37</f>
        <v>41</v>
      </c>
      <c r="L141" s="28">
        <f>SUM(T136:T140)</f>
        <v>812.53</v>
      </c>
    </row>
    <row r="142" spans="1:27" ht="14.25" x14ac:dyDescent="0.2">
      <c r="A142" s="23"/>
      <c r="B142" s="23"/>
      <c r="C142" s="24"/>
      <c r="D142" s="24" t="s">
        <v>286</v>
      </c>
      <c r="E142" s="25" t="s">
        <v>287</v>
      </c>
      <c r="F142" s="10">
        <f>Source!AQ37</f>
        <v>11.9</v>
      </c>
      <c r="G142" s="27"/>
      <c r="H142" s="26" t="str">
        <f>Source!DI37</f>
        <v>)*1,2</v>
      </c>
      <c r="I142" s="10">
        <f>Source!AV37</f>
        <v>1.0669999999999999</v>
      </c>
      <c r="J142" s="28">
        <f>Source!U37</f>
        <v>6.5518067999999996</v>
      </c>
      <c r="K142" s="10"/>
      <c r="L142" s="28"/>
    </row>
    <row r="143" spans="1:27" ht="15" x14ac:dyDescent="0.25">
      <c r="A143" s="31"/>
      <c r="B143" s="31"/>
      <c r="C143" s="31"/>
      <c r="D143" s="31"/>
      <c r="E143" s="31"/>
      <c r="F143" s="31"/>
      <c r="G143" s="31"/>
      <c r="H143" s="31"/>
      <c r="I143" s="56">
        <f>J138+J139+J140+J141</f>
        <v>227.61</v>
      </c>
      <c r="J143" s="56"/>
      <c r="K143" s="56">
        <f>L138+L139+L140+L141</f>
        <v>4323.3999999999996</v>
      </c>
      <c r="L143" s="56"/>
      <c r="O143" s="30">
        <f>J138+J139+J140+J141</f>
        <v>227.61</v>
      </c>
      <c r="P143" s="30">
        <f>L138+L139+L140+L141</f>
        <v>4323.3999999999996</v>
      </c>
      <c r="X143">
        <f>IF(Source!BI37&lt;=1,J138+J139+J140+J141-0, 0)</f>
        <v>0</v>
      </c>
      <c r="Y143">
        <f>IF(Source!BI37=2,J138+J139+J140+J141-0, 0)</f>
        <v>227.61</v>
      </c>
      <c r="Z143">
        <f>IF(Source!BI37=3,J138+J139+J140+J141-0, 0)</f>
        <v>0</v>
      </c>
      <c r="AA143">
        <f>IF(Source!BI37=4,J138+J139+J140+J141,0)</f>
        <v>0</v>
      </c>
    </row>
    <row r="144" spans="1:27" ht="99.75" x14ac:dyDescent="0.2">
      <c r="A144" s="23">
        <v>11</v>
      </c>
      <c r="B144" s="23" t="str">
        <f>Source!E38</f>
        <v>11</v>
      </c>
      <c r="C144" s="24" t="str">
        <f>Source!F38</f>
        <v>4.8-316-1</v>
      </c>
      <c r="D144" s="24" t="s">
        <v>77</v>
      </c>
      <c r="E144" s="25" t="str">
        <f>Source!H38</f>
        <v>шт.</v>
      </c>
      <c r="F144" s="10">
        <f>Source!I38</f>
        <v>8</v>
      </c>
      <c r="G144" s="27"/>
      <c r="H144" s="26"/>
      <c r="I144" s="10"/>
      <c r="J144" s="28"/>
      <c r="K144" s="10"/>
      <c r="L144" s="28"/>
      <c r="Q144">
        <f>ROUND((Source!DN38/100)*ROUND((ROUND((Source!AF38*Source!AV38*Source!I38),2)),2), 2)</f>
        <v>425.63</v>
      </c>
      <c r="R144">
        <f>Source!X38</f>
        <v>7135.44</v>
      </c>
      <c r="S144">
        <f>ROUND((Source!DO38/100)*ROUND((ROUND((Source!AF38*Source!AV38*Source!I38),2)),2), 2)</f>
        <v>250.15</v>
      </c>
      <c r="T144">
        <f>Source!Y38</f>
        <v>3799.39</v>
      </c>
      <c r="U144">
        <f>ROUND((175/100)*ROUND((ROUND((Source!AE38*Source!AV38*Source!I38),2)),2), 2)</f>
        <v>3.05</v>
      </c>
      <c r="V144">
        <f>ROUND((157/100)*ROUND(ROUND((ROUND((Source!AE38*Source!AV38*Source!I38),2)*Source!BS38),2), 2), 2)</f>
        <v>67.81</v>
      </c>
    </row>
    <row r="145" spans="1:27" ht="14.25" x14ac:dyDescent="0.2">
      <c r="A145" s="23"/>
      <c r="B145" s="23"/>
      <c r="C145" s="24"/>
      <c r="D145" s="24" t="s">
        <v>278</v>
      </c>
      <c r="E145" s="25"/>
      <c r="F145" s="10"/>
      <c r="G145" s="27">
        <f>Source!AO38</f>
        <v>36.450000000000003</v>
      </c>
      <c r="H145" s="26" t="str">
        <f>Source!DG38</f>
        <v>)*1,2</v>
      </c>
      <c r="I145" s="10">
        <f>Source!AV38</f>
        <v>1.0669999999999999</v>
      </c>
      <c r="J145" s="28">
        <f>ROUND((ROUND((Source!AF38*Source!AV38*Source!I38),2)),2)</f>
        <v>373.36</v>
      </c>
      <c r="K145" s="10">
        <f>IF(Source!BA38&lt;&gt; 0, Source!BA38, 1)</f>
        <v>24.82</v>
      </c>
      <c r="L145" s="28">
        <f>Source!S38</f>
        <v>9266.7999999999993</v>
      </c>
      <c r="W145">
        <f>J145</f>
        <v>373.36</v>
      </c>
    </row>
    <row r="146" spans="1:27" ht="14.25" x14ac:dyDescent="0.2">
      <c r="A146" s="23"/>
      <c r="B146" s="23"/>
      <c r="C146" s="24"/>
      <c r="D146" s="24" t="s">
        <v>279</v>
      </c>
      <c r="E146" s="25"/>
      <c r="F146" s="10"/>
      <c r="G146" s="27">
        <f>Source!AM38</f>
        <v>1.18</v>
      </c>
      <c r="H146" s="26" t="str">
        <f>Source!DE38</f>
        <v>)*1,2</v>
      </c>
      <c r="I146" s="10">
        <f>Source!AV38</f>
        <v>1.0669999999999999</v>
      </c>
      <c r="J146" s="28">
        <f>(ROUND((ROUND((((Source!ET38*1.2))*Source!AV38*Source!I38),2)),2)+ROUND((ROUND(((Source!AE38-((Source!EU38*1.2)))*Source!AV38*Source!I38),2)),2))</f>
        <v>12.09</v>
      </c>
      <c r="K146" s="10">
        <f>IF(Source!BB38&lt;&gt; 0, Source!BB38, 1)</f>
        <v>7.86</v>
      </c>
      <c r="L146" s="28">
        <f>Source!Q38</f>
        <v>95.03</v>
      </c>
    </row>
    <row r="147" spans="1:27" ht="14.25" x14ac:dyDescent="0.2">
      <c r="A147" s="23"/>
      <c r="B147" s="23"/>
      <c r="C147" s="24"/>
      <c r="D147" s="24" t="s">
        <v>280</v>
      </c>
      <c r="E147" s="25"/>
      <c r="F147" s="10"/>
      <c r="G147" s="27">
        <f>Source!AN38</f>
        <v>0.17</v>
      </c>
      <c r="H147" s="26" t="str">
        <f>Source!DF38</f>
        <v>)*1,2</v>
      </c>
      <c r="I147" s="10">
        <f>Source!AV38</f>
        <v>1.0669999999999999</v>
      </c>
      <c r="J147" s="29">
        <f>ROUND((ROUND((Source!AE38*Source!AV38*Source!I38),2)),2)</f>
        <v>1.74</v>
      </c>
      <c r="K147" s="10">
        <f>IF(Source!BS38&lt;&gt; 0, Source!BS38, 1)</f>
        <v>24.82</v>
      </c>
      <c r="L147" s="29">
        <f>Source!R38</f>
        <v>43.19</v>
      </c>
      <c r="W147">
        <f>J147</f>
        <v>1.74</v>
      </c>
    </row>
    <row r="148" spans="1:27" ht="14.25" x14ac:dyDescent="0.2">
      <c r="A148" s="23"/>
      <c r="B148" s="23"/>
      <c r="C148" s="24"/>
      <c r="D148" s="24" t="s">
        <v>281</v>
      </c>
      <c r="E148" s="25"/>
      <c r="F148" s="10"/>
      <c r="G148" s="27">
        <f>Source!AL38</f>
        <v>7.53</v>
      </c>
      <c r="H148" s="26" t="str">
        <f>Source!DD38</f>
        <v/>
      </c>
      <c r="I148" s="10">
        <f>Source!AW38</f>
        <v>1.028</v>
      </c>
      <c r="J148" s="28">
        <f>ROUND((ROUND((Source!AC38*Source!AW38*Source!I38),2)),2)</f>
        <v>61.93</v>
      </c>
      <c r="K148" s="10">
        <f>IF(Source!BC38&lt;&gt; 0, Source!BC38, 1)</f>
        <v>7.77</v>
      </c>
      <c r="L148" s="28">
        <f>Source!P38</f>
        <v>481.2</v>
      </c>
    </row>
    <row r="149" spans="1:27" ht="14.25" x14ac:dyDescent="0.2">
      <c r="A149" s="23"/>
      <c r="B149" s="23"/>
      <c r="C149" s="24"/>
      <c r="D149" s="24" t="s">
        <v>282</v>
      </c>
      <c r="E149" s="25" t="s">
        <v>283</v>
      </c>
      <c r="F149" s="10">
        <f>Source!DN38</f>
        <v>114</v>
      </c>
      <c r="G149" s="27"/>
      <c r="H149" s="26"/>
      <c r="I149" s="10"/>
      <c r="J149" s="28">
        <f>SUM(Q144:Q148)</f>
        <v>425.63</v>
      </c>
      <c r="K149" s="10">
        <f>Source!BZ38</f>
        <v>77</v>
      </c>
      <c r="L149" s="28">
        <f>SUM(R144:R148)</f>
        <v>7135.44</v>
      </c>
    </row>
    <row r="150" spans="1:27" ht="14.25" x14ac:dyDescent="0.2">
      <c r="A150" s="23"/>
      <c r="B150" s="23"/>
      <c r="C150" s="24"/>
      <c r="D150" s="24" t="s">
        <v>284</v>
      </c>
      <c r="E150" s="25" t="s">
        <v>283</v>
      </c>
      <c r="F150" s="10">
        <f>Source!DO38</f>
        <v>67</v>
      </c>
      <c r="G150" s="27"/>
      <c r="H150" s="26"/>
      <c r="I150" s="10"/>
      <c r="J150" s="28">
        <f>SUM(S144:S149)</f>
        <v>250.15</v>
      </c>
      <c r="K150" s="10">
        <f>Source!CA38</f>
        <v>41</v>
      </c>
      <c r="L150" s="28">
        <f>SUM(T144:T149)</f>
        <v>3799.39</v>
      </c>
    </row>
    <row r="151" spans="1:27" ht="14.25" x14ac:dyDescent="0.2">
      <c r="A151" s="23"/>
      <c r="B151" s="23"/>
      <c r="C151" s="24"/>
      <c r="D151" s="24" t="s">
        <v>285</v>
      </c>
      <c r="E151" s="25" t="s">
        <v>283</v>
      </c>
      <c r="F151" s="10">
        <f>175</f>
        <v>175</v>
      </c>
      <c r="G151" s="27"/>
      <c r="H151" s="26"/>
      <c r="I151" s="10"/>
      <c r="J151" s="28">
        <f>SUM(U144:U150)</f>
        <v>3.05</v>
      </c>
      <c r="K151" s="10">
        <f>157</f>
        <v>157</v>
      </c>
      <c r="L151" s="28">
        <f>SUM(V144:V150)</f>
        <v>67.81</v>
      </c>
    </row>
    <row r="152" spans="1:27" ht="14.25" x14ac:dyDescent="0.2">
      <c r="A152" s="23"/>
      <c r="B152" s="23"/>
      <c r="C152" s="24"/>
      <c r="D152" s="24" t="s">
        <v>286</v>
      </c>
      <c r="E152" s="25" t="s">
        <v>287</v>
      </c>
      <c r="F152" s="10">
        <f>Source!AQ38</f>
        <v>2.5099999999999998</v>
      </c>
      <c r="G152" s="27"/>
      <c r="H152" s="26" t="str">
        <f>Source!DI38</f>
        <v>)*1,2</v>
      </c>
      <c r="I152" s="10">
        <f>Source!AV38</f>
        <v>1.0669999999999999</v>
      </c>
      <c r="J152" s="28">
        <f>Source!U38</f>
        <v>25.710431999999994</v>
      </c>
      <c r="K152" s="10"/>
      <c r="L152" s="28"/>
    </row>
    <row r="153" spans="1:27" ht="15" x14ac:dyDescent="0.25">
      <c r="A153" s="31"/>
      <c r="B153" s="31"/>
      <c r="C153" s="31"/>
      <c r="D153" s="31"/>
      <c r="E153" s="31"/>
      <c r="F153" s="31"/>
      <c r="G153" s="31"/>
      <c r="H153" s="31"/>
      <c r="I153" s="56">
        <f>J145+J146+J148+J149+J150+J151</f>
        <v>1126.21</v>
      </c>
      <c r="J153" s="56"/>
      <c r="K153" s="56">
        <f>L145+L146+L148+L149+L150+L151</f>
        <v>20845.670000000002</v>
      </c>
      <c r="L153" s="56"/>
      <c r="O153" s="30">
        <f>J145+J146+J148+J149+J150+J151</f>
        <v>1126.21</v>
      </c>
      <c r="P153" s="30">
        <f>L145+L146+L148+L149+L150+L151</f>
        <v>20845.670000000002</v>
      </c>
      <c r="X153">
        <f>IF(Source!BI38&lt;=1,J145+J146+J148+J149+J150+J151-0, 0)</f>
        <v>0</v>
      </c>
      <c r="Y153">
        <f>IF(Source!BI38=2,J145+J146+J148+J149+J150+J151-0, 0)</f>
        <v>1126.21</v>
      </c>
      <c r="Z153">
        <f>IF(Source!BI38=3,J145+J146+J148+J149+J150+J151-0, 0)</f>
        <v>0</v>
      </c>
      <c r="AA153">
        <f>IF(Source!BI38=4,J145+J146+J148+J149+J150+J151,0)</f>
        <v>0</v>
      </c>
    </row>
    <row r="154" spans="1:27" ht="57" x14ac:dyDescent="0.2">
      <c r="A154" s="23">
        <v>12</v>
      </c>
      <c r="B154" s="23" t="str">
        <f>Source!E39</f>
        <v>12</v>
      </c>
      <c r="C154" s="24" t="str">
        <f>Source!F39</f>
        <v>4.8-98-4</v>
      </c>
      <c r="D154" s="24" t="s">
        <v>83</v>
      </c>
      <c r="E154" s="25" t="str">
        <f>Source!H39</f>
        <v>шт.</v>
      </c>
      <c r="F154" s="10">
        <f>Source!I39</f>
        <v>3</v>
      </c>
      <c r="G154" s="27"/>
      <c r="H154" s="26"/>
      <c r="I154" s="10"/>
      <c r="J154" s="28"/>
      <c r="K154" s="10"/>
      <c r="L154" s="28"/>
      <c r="Q154">
        <f>ROUND((Source!DN39/100)*ROUND((ROUND((Source!AF39*Source!AV39*Source!I39),2)),2), 2)</f>
        <v>561.52</v>
      </c>
      <c r="R154">
        <f>Source!X39</f>
        <v>9303.5300000000007</v>
      </c>
      <c r="S154">
        <f>ROUND((Source!DO39/100)*ROUND((ROUND((Source!AF39*Source!AV39*Source!I39),2)),2), 2)</f>
        <v>330.02</v>
      </c>
      <c r="T154">
        <f>Source!Y39</f>
        <v>4953.83</v>
      </c>
      <c r="U154">
        <f>ROUND((175/100)*ROUND((ROUND((Source!AE39*Source!AV39*Source!I39),2)),2), 2)</f>
        <v>1.35</v>
      </c>
      <c r="V154">
        <f>ROUND((157/100)*ROUND(ROUND((ROUND((Source!AE39*Source!AV39*Source!I39),2)*Source!BS39),2), 2), 2)</f>
        <v>29.66</v>
      </c>
    </row>
    <row r="155" spans="1:27" ht="14.25" x14ac:dyDescent="0.2">
      <c r="A155" s="23"/>
      <c r="B155" s="23"/>
      <c r="C155" s="24"/>
      <c r="D155" s="24" t="s">
        <v>278</v>
      </c>
      <c r="E155" s="25"/>
      <c r="F155" s="10"/>
      <c r="G155" s="27">
        <f>Source!AO39</f>
        <v>128.22999999999999</v>
      </c>
      <c r="H155" s="26" t="str">
        <f>Source!DG39</f>
        <v>)*1,2</v>
      </c>
      <c r="I155" s="10">
        <f>Source!AV39</f>
        <v>1.0669999999999999</v>
      </c>
      <c r="J155" s="28">
        <f>ROUND((ROUND((Source!AF39*Source!AV39*Source!I39),2)),2)</f>
        <v>492.56</v>
      </c>
      <c r="K155" s="10">
        <f>IF(Source!BA39&lt;&gt; 0, Source!BA39, 1)</f>
        <v>24.53</v>
      </c>
      <c r="L155" s="28">
        <f>Source!S39</f>
        <v>12082.5</v>
      </c>
      <c r="W155">
        <f>J155</f>
        <v>492.56</v>
      </c>
    </row>
    <row r="156" spans="1:27" ht="14.25" x14ac:dyDescent="0.2">
      <c r="A156" s="23"/>
      <c r="B156" s="23"/>
      <c r="C156" s="24"/>
      <c r="D156" s="24" t="s">
        <v>279</v>
      </c>
      <c r="E156" s="25"/>
      <c r="F156" s="10"/>
      <c r="G156" s="27">
        <f>Source!AM39</f>
        <v>0.85</v>
      </c>
      <c r="H156" s="26" t="str">
        <f>Source!DE39</f>
        <v>)*1,2</v>
      </c>
      <c r="I156" s="10">
        <f>Source!AV39</f>
        <v>1.0669999999999999</v>
      </c>
      <c r="J156" s="28">
        <f>(ROUND((ROUND((((Source!ET39*1.2))*Source!AV39*Source!I39),2)),2)+ROUND((ROUND(((Source!AE39-((Source!EU39*1.2)))*Source!AV39*Source!I39),2)),2))</f>
        <v>3.27</v>
      </c>
      <c r="K156" s="10">
        <f>IF(Source!BB39&lt;&gt; 0, Source!BB39, 1)</f>
        <v>8.77</v>
      </c>
      <c r="L156" s="28">
        <f>Source!Q39</f>
        <v>28.68</v>
      </c>
    </row>
    <row r="157" spans="1:27" ht="14.25" x14ac:dyDescent="0.2">
      <c r="A157" s="23"/>
      <c r="B157" s="23"/>
      <c r="C157" s="24"/>
      <c r="D157" s="24" t="s">
        <v>280</v>
      </c>
      <c r="E157" s="25"/>
      <c r="F157" s="10"/>
      <c r="G157" s="27">
        <f>Source!AN39</f>
        <v>0.2</v>
      </c>
      <c r="H157" s="26" t="str">
        <f>Source!DF39</f>
        <v>)*1,2</v>
      </c>
      <c r="I157" s="10">
        <f>Source!AV39</f>
        <v>1.0669999999999999</v>
      </c>
      <c r="J157" s="29">
        <f>ROUND((ROUND((Source!AE39*Source!AV39*Source!I39),2)),2)</f>
        <v>0.77</v>
      </c>
      <c r="K157" s="10">
        <f>IF(Source!BS39&lt;&gt; 0, Source!BS39, 1)</f>
        <v>24.53</v>
      </c>
      <c r="L157" s="29">
        <f>Source!R39</f>
        <v>18.89</v>
      </c>
      <c r="W157">
        <f>J157</f>
        <v>0.77</v>
      </c>
    </row>
    <row r="158" spans="1:27" ht="14.25" x14ac:dyDescent="0.2">
      <c r="A158" s="23"/>
      <c r="B158" s="23"/>
      <c r="C158" s="24"/>
      <c r="D158" s="24" t="s">
        <v>281</v>
      </c>
      <c r="E158" s="25"/>
      <c r="F158" s="10"/>
      <c r="G158" s="27">
        <f>Source!AL39</f>
        <v>30.17</v>
      </c>
      <c r="H158" s="26" t="str">
        <f>Source!DD39</f>
        <v/>
      </c>
      <c r="I158" s="10">
        <f>Source!AW39</f>
        <v>1.081</v>
      </c>
      <c r="J158" s="28">
        <f>ROUND((ROUND((Source!AC39*Source!AW39*Source!I39),2)),2)</f>
        <v>97.84</v>
      </c>
      <c r="K158" s="10">
        <f>IF(Source!BC39&lt;&gt; 0, Source!BC39, 1)</f>
        <v>5.29</v>
      </c>
      <c r="L158" s="28">
        <f>Source!P39</f>
        <v>517.57000000000005</v>
      </c>
    </row>
    <row r="159" spans="1:27" ht="14.25" x14ac:dyDescent="0.2">
      <c r="A159" s="23"/>
      <c r="B159" s="23"/>
      <c r="C159" s="24"/>
      <c r="D159" s="24" t="s">
        <v>282</v>
      </c>
      <c r="E159" s="25" t="s">
        <v>283</v>
      </c>
      <c r="F159" s="10">
        <f>Source!DN39</f>
        <v>114</v>
      </c>
      <c r="G159" s="27"/>
      <c r="H159" s="26"/>
      <c r="I159" s="10"/>
      <c r="J159" s="28">
        <f>SUM(Q154:Q158)</f>
        <v>561.52</v>
      </c>
      <c r="K159" s="10">
        <f>Source!BZ39</f>
        <v>77</v>
      </c>
      <c r="L159" s="28">
        <f>SUM(R154:R158)</f>
        <v>9303.5300000000007</v>
      </c>
    </row>
    <row r="160" spans="1:27" ht="14.25" x14ac:dyDescent="0.2">
      <c r="A160" s="23"/>
      <c r="B160" s="23"/>
      <c r="C160" s="24"/>
      <c r="D160" s="24" t="s">
        <v>284</v>
      </c>
      <c r="E160" s="25" t="s">
        <v>283</v>
      </c>
      <c r="F160" s="10">
        <f>Source!DO39</f>
        <v>67</v>
      </c>
      <c r="G160" s="27"/>
      <c r="H160" s="26"/>
      <c r="I160" s="10"/>
      <c r="J160" s="28">
        <f>SUM(S154:S159)</f>
        <v>330.02</v>
      </c>
      <c r="K160" s="10">
        <f>Source!CA39</f>
        <v>41</v>
      </c>
      <c r="L160" s="28">
        <f>SUM(T154:T159)</f>
        <v>4953.83</v>
      </c>
    </row>
    <row r="161" spans="1:27" ht="14.25" x14ac:dyDescent="0.2">
      <c r="A161" s="23"/>
      <c r="B161" s="23"/>
      <c r="C161" s="24"/>
      <c r="D161" s="24" t="s">
        <v>285</v>
      </c>
      <c r="E161" s="25" t="s">
        <v>283</v>
      </c>
      <c r="F161" s="10">
        <f>175</f>
        <v>175</v>
      </c>
      <c r="G161" s="27"/>
      <c r="H161" s="26"/>
      <c r="I161" s="10"/>
      <c r="J161" s="28">
        <f>SUM(U154:U160)</f>
        <v>1.35</v>
      </c>
      <c r="K161" s="10">
        <f>157</f>
        <v>157</v>
      </c>
      <c r="L161" s="28">
        <f>SUM(V154:V160)</f>
        <v>29.66</v>
      </c>
    </row>
    <row r="162" spans="1:27" ht="14.25" x14ac:dyDescent="0.2">
      <c r="A162" s="23"/>
      <c r="B162" s="23"/>
      <c r="C162" s="24"/>
      <c r="D162" s="24" t="s">
        <v>286</v>
      </c>
      <c r="E162" s="25" t="s">
        <v>287</v>
      </c>
      <c r="F162" s="10">
        <f>Source!AQ39</f>
        <v>10.4</v>
      </c>
      <c r="G162" s="27"/>
      <c r="H162" s="26" t="str">
        <f>Source!DI39</f>
        <v>)*1,2</v>
      </c>
      <c r="I162" s="10">
        <f>Source!AV39</f>
        <v>1.0669999999999999</v>
      </c>
      <c r="J162" s="28">
        <f>Source!U39</f>
        <v>39.948480000000004</v>
      </c>
      <c r="K162" s="10"/>
      <c r="L162" s="28"/>
    </row>
    <row r="163" spans="1:27" ht="15" x14ac:dyDescent="0.25">
      <c r="A163" s="31"/>
      <c r="B163" s="31"/>
      <c r="C163" s="31"/>
      <c r="D163" s="31"/>
      <c r="E163" s="31"/>
      <c r="F163" s="31"/>
      <c r="G163" s="31"/>
      <c r="H163" s="31"/>
      <c r="I163" s="56">
        <f>J155+J156+J158+J159+J160+J161</f>
        <v>1486.56</v>
      </c>
      <c r="J163" s="56"/>
      <c r="K163" s="56">
        <f>L155+L156+L158+L159+L160+L161</f>
        <v>26915.77</v>
      </c>
      <c r="L163" s="56"/>
      <c r="O163" s="30">
        <f>J155+J156+J158+J159+J160+J161</f>
        <v>1486.56</v>
      </c>
      <c r="P163" s="30">
        <f>L155+L156+L158+L159+L160+L161</f>
        <v>26915.77</v>
      </c>
      <c r="X163">
        <f>IF(Source!BI39&lt;=1,J155+J156+J158+J159+J160+J161-0, 0)</f>
        <v>0</v>
      </c>
      <c r="Y163">
        <f>IF(Source!BI39=2,J155+J156+J158+J159+J160+J161-0, 0)</f>
        <v>1486.56</v>
      </c>
      <c r="Z163">
        <f>IF(Source!BI39=3,J155+J156+J158+J159+J160+J161-0, 0)</f>
        <v>0</v>
      </c>
      <c r="AA163">
        <f>IF(Source!BI39=4,J155+J156+J158+J159+J160+J161,0)</f>
        <v>0</v>
      </c>
    </row>
    <row r="165" spans="1:27" ht="15" x14ac:dyDescent="0.25">
      <c r="A165" s="55" t="str">
        <f>CONCATENATE("Итого по разделу: ",IF(Source!G41&lt;&gt;"Новый раздел", Source!G41, ""))</f>
        <v>Итого по разделу: Электромонтажные работы.</v>
      </c>
      <c r="B165" s="55"/>
      <c r="C165" s="55"/>
      <c r="D165" s="55"/>
      <c r="E165" s="55"/>
      <c r="F165" s="55"/>
      <c r="G165" s="55"/>
      <c r="H165" s="55"/>
      <c r="I165" s="53">
        <f>SUM(O42:O164)</f>
        <v>14818.67</v>
      </c>
      <c r="J165" s="54"/>
      <c r="K165" s="53">
        <f>SUM(P42:P164)</f>
        <v>191893.66</v>
      </c>
      <c r="L165" s="54"/>
    </row>
    <row r="166" spans="1:27" hidden="1" x14ac:dyDescent="0.2">
      <c r="A166" t="s">
        <v>288</v>
      </c>
      <c r="I166">
        <f>SUM(AC42:AC165)</f>
        <v>0</v>
      </c>
      <c r="K166">
        <f>SUM(AD42:AD165)</f>
        <v>0</v>
      </c>
    </row>
    <row r="167" spans="1:27" hidden="1" x14ac:dyDescent="0.2">
      <c r="A167" t="s">
        <v>289</v>
      </c>
      <c r="I167">
        <f>SUM(AE42:AE166)</f>
        <v>0</v>
      </c>
      <c r="K167">
        <f>SUM(AF42:AF166)</f>
        <v>0</v>
      </c>
    </row>
    <row r="169" spans="1:27" ht="16.5" x14ac:dyDescent="0.25">
      <c r="A169" s="57" t="str">
        <f>CONCATENATE("Раздел: ",IF(Source!G71&lt;&gt;"Новый раздел", Source!G71, ""))</f>
        <v>Раздел: Пусконаладочные работы.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27" ht="28.5" x14ac:dyDescent="0.2">
      <c r="A170" s="23">
        <v>13</v>
      </c>
      <c r="B170" s="23" t="str">
        <f>Source!E75</f>
        <v>13</v>
      </c>
      <c r="C170" s="24" t="str">
        <f>Source!F75</f>
        <v>5.1-23-1</v>
      </c>
      <c r="D170" s="24" t="s">
        <v>144</v>
      </c>
      <c r="E170" s="25" t="str">
        <f>Source!H75</f>
        <v>шт.</v>
      </c>
      <c r="F170" s="10">
        <f>Source!I75</f>
        <v>3</v>
      </c>
      <c r="G170" s="27"/>
      <c r="H170" s="26"/>
      <c r="I170" s="10"/>
      <c r="J170" s="28"/>
      <c r="K170" s="10"/>
      <c r="L170" s="28"/>
      <c r="Q170">
        <f>ROUND((Source!DN75/100)*ROUND((ROUND((Source!AF75*Source!AV75*Source!I75),2)),2), 2)</f>
        <v>202.67</v>
      </c>
      <c r="R170">
        <f>Source!X75</f>
        <v>3748.49</v>
      </c>
      <c r="S170">
        <f>ROUND((Source!DO75/100)*ROUND((ROUND((Source!AF75*Source!AV75*Source!I75),2)),2), 2)</f>
        <v>189.15</v>
      </c>
      <c r="T170">
        <f>Source!Y75</f>
        <v>2260.12</v>
      </c>
      <c r="U170">
        <f>ROUND((175/100)*ROUND((ROUND((Source!AE75*Source!AV75*Source!I75),2)),2), 2)</f>
        <v>0</v>
      </c>
      <c r="V170">
        <f>ROUND((157/100)*ROUND(ROUND((ROUND((Source!AE75*Source!AV75*Source!I75),2)*Source!BS75),2), 2), 2)</f>
        <v>0</v>
      </c>
    </row>
    <row r="171" spans="1:27" ht="28.5" x14ac:dyDescent="0.2">
      <c r="A171" s="23"/>
      <c r="B171" s="23"/>
      <c r="C171" s="24"/>
      <c r="D171" s="24" t="s">
        <v>278</v>
      </c>
      <c r="E171" s="25"/>
      <c r="F171" s="10"/>
      <c r="G171" s="27">
        <f>Source!AO75</f>
        <v>86.61</v>
      </c>
      <c r="H171" s="26" t="str">
        <f>Source!DG75</f>
        <v>)*1,3)*0,8</v>
      </c>
      <c r="I171" s="10">
        <f>Source!AV75</f>
        <v>1</v>
      </c>
      <c r="J171" s="28">
        <f>ROUND((ROUND((Source!AF75*Source!AV75*Source!I75),2)),2)</f>
        <v>270.22000000000003</v>
      </c>
      <c r="K171" s="10">
        <f>IF(Source!BA75&lt;&gt; 0, Source!BA75, 1)</f>
        <v>20.399999999999999</v>
      </c>
      <c r="L171" s="28">
        <f>Source!S75</f>
        <v>5512.49</v>
      </c>
      <c r="W171">
        <f>J171</f>
        <v>270.22000000000003</v>
      </c>
    </row>
    <row r="172" spans="1:27" ht="14.25" x14ac:dyDescent="0.2">
      <c r="A172" s="23"/>
      <c r="B172" s="23"/>
      <c r="C172" s="24"/>
      <c r="D172" s="24" t="s">
        <v>282</v>
      </c>
      <c r="E172" s="25" t="s">
        <v>283</v>
      </c>
      <c r="F172" s="10">
        <f>Source!DN75</f>
        <v>75</v>
      </c>
      <c r="G172" s="27"/>
      <c r="H172" s="26"/>
      <c r="I172" s="10"/>
      <c r="J172" s="28">
        <f>SUM(Q170:Q171)</f>
        <v>202.67</v>
      </c>
      <c r="K172" s="10">
        <f>Source!BZ75</f>
        <v>68</v>
      </c>
      <c r="L172" s="28">
        <f>SUM(R170:R171)</f>
        <v>3748.49</v>
      </c>
    </row>
    <row r="173" spans="1:27" ht="14.25" x14ac:dyDescent="0.2">
      <c r="A173" s="23"/>
      <c r="B173" s="23"/>
      <c r="C173" s="24"/>
      <c r="D173" s="24" t="s">
        <v>284</v>
      </c>
      <c r="E173" s="25" t="s">
        <v>283</v>
      </c>
      <c r="F173" s="10">
        <f>Source!DO75</f>
        <v>70</v>
      </c>
      <c r="G173" s="27"/>
      <c r="H173" s="26"/>
      <c r="I173" s="10"/>
      <c r="J173" s="28">
        <f>SUM(S170:S172)</f>
        <v>189.15</v>
      </c>
      <c r="K173" s="10">
        <f>Source!CA75</f>
        <v>41</v>
      </c>
      <c r="L173" s="28">
        <f>SUM(T170:T172)</f>
        <v>2260.12</v>
      </c>
    </row>
    <row r="174" spans="1:27" ht="28.5" x14ac:dyDescent="0.2">
      <c r="A174" s="23"/>
      <c r="B174" s="23"/>
      <c r="C174" s="24"/>
      <c r="D174" s="24" t="s">
        <v>286</v>
      </c>
      <c r="E174" s="25" t="s">
        <v>287</v>
      </c>
      <c r="F174" s="10">
        <f>Source!AQ75</f>
        <v>5.4</v>
      </c>
      <c r="G174" s="27"/>
      <c r="H174" s="26" t="str">
        <f>Source!DI75</f>
        <v>)*1,3)*0,8</v>
      </c>
      <c r="I174" s="10">
        <f>Source!AV75</f>
        <v>1</v>
      </c>
      <c r="J174" s="28">
        <f>Source!U75</f>
        <v>16.848000000000003</v>
      </c>
      <c r="K174" s="10"/>
      <c r="L174" s="28"/>
    </row>
    <row r="175" spans="1:27" ht="15" x14ac:dyDescent="0.25">
      <c r="A175" s="31"/>
      <c r="B175" s="31"/>
      <c r="C175" s="31"/>
      <c r="D175" s="31"/>
      <c r="E175" s="31"/>
      <c r="F175" s="31"/>
      <c r="G175" s="31"/>
      <c r="H175" s="31"/>
      <c r="I175" s="56">
        <f>J171+J172+J173</f>
        <v>662.04</v>
      </c>
      <c r="J175" s="56"/>
      <c r="K175" s="56">
        <f>L171+L172+L173</f>
        <v>11521.099999999999</v>
      </c>
      <c r="L175" s="56"/>
      <c r="O175" s="30">
        <f>J171+J172+J173</f>
        <v>662.04</v>
      </c>
      <c r="P175" s="30">
        <f>L171+L172+L173</f>
        <v>11521.099999999999</v>
      </c>
      <c r="X175">
        <f>IF(Source!BI75&lt;=1,J171+J172+J173-0, 0)</f>
        <v>0</v>
      </c>
      <c r="Y175">
        <f>IF(Source!BI75=2,J171+J172+J173-0, 0)</f>
        <v>0</v>
      </c>
      <c r="Z175">
        <f>IF(Source!BI75=3,J171+J172+J173-0, 0)</f>
        <v>0</v>
      </c>
      <c r="AA175">
        <f>IF(Source!BI75=4,J171+J172+J173,0)</f>
        <v>662.04</v>
      </c>
    </row>
    <row r="176" spans="1:27" ht="71.25" x14ac:dyDescent="0.2">
      <c r="A176" s="23">
        <v>14</v>
      </c>
      <c r="B176" s="23" t="str">
        <f>Source!E76</f>
        <v>14</v>
      </c>
      <c r="C176" s="24" t="str">
        <f>Source!F76</f>
        <v>5.1-20-7</v>
      </c>
      <c r="D176" s="24" t="s">
        <v>153</v>
      </c>
      <c r="E176" s="25" t="str">
        <f>Source!H76</f>
        <v>шт.</v>
      </c>
      <c r="F176" s="10">
        <f>Source!I76</f>
        <v>2</v>
      </c>
      <c r="G176" s="27"/>
      <c r="H176" s="26"/>
      <c r="I176" s="10"/>
      <c r="J176" s="28"/>
      <c r="K176" s="10"/>
      <c r="L176" s="28"/>
      <c r="Q176">
        <f>ROUND((Source!DN76/100)*ROUND((ROUND((Source!AF76*Source!AV76*Source!I76),2)),2), 2)</f>
        <v>86.36</v>
      </c>
      <c r="R176">
        <f>Source!X76</f>
        <v>1597.36</v>
      </c>
      <c r="S176">
        <f>ROUND((Source!DO76/100)*ROUND((ROUND((Source!AF76*Source!AV76*Source!I76),2)),2), 2)</f>
        <v>80.61</v>
      </c>
      <c r="T176">
        <f>Source!Y76</f>
        <v>963.11</v>
      </c>
      <c r="U176">
        <f>ROUND((175/100)*ROUND((ROUND((Source!AE76*Source!AV76*Source!I76),2)),2), 2)</f>
        <v>0</v>
      </c>
      <c r="V176">
        <f>ROUND((157/100)*ROUND(ROUND((ROUND((Source!AE76*Source!AV76*Source!I76),2)*Source!BS76),2), 2), 2)</f>
        <v>0</v>
      </c>
    </row>
    <row r="177" spans="1:27" ht="28.5" x14ac:dyDescent="0.2">
      <c r="A177" s="23"/>
      <c r="B177" s="23"/>
      <c r="C177" s="24"/>
      <c r="D177" s="24" t="s">
        <v>278</v>
      </c>
      <c r="E177" s="25"/>
      <c r="F177" s="10"/>
      <c r="G177" s="27">
        <f>Source!AO76</f>
        <v>55.36</v>
      </c>
      <c r="H177" s="26" t="str">
        <f>Source!DG76</f>
        <v>)*1,3)*0,8</v>
      </c>
      <c r="I177" s="10">
        <f>Source!AV76</f>
        <v>1</v>
      </c>
      <c r="J177" s="28">
        <f>ROUND((ROUND((Source!AF76*Source!AV76*Source!I76),2)),2)</f>
        <v>115.15</v>
      </c>
      <c r="K177" s="10">
        <f>IF(Source!BA76&lt;&gt; 0, Source!BA76, 1)</f>
        <v>20.399999999999999</v>
      </c>
      <c r="L177" s="28">
        <f>Source!S76</f>
        <v>2349.06</v>
      </c>
      <c r="W177">
        <f>J177</f>
        <v>115.15</v>
      </c>
    </row>
    <row r="178" spans="1:27" ht="14.25" x14ac:dyDescent="0.2">
      <c r="A178" s="23"/>
      <c r="B178" s="23"/>
      <c r="C178" s="24"/>
      <c r="D178" s="24" t="s">
        <v>282</v>
      </c>
      <c r="E178" s="25" t="s">
        <v>283</v>
      </c>
      <c r="F178" s="10">
        <f>Source!DN76</f>
        <v>75</v>
      </c>
      <c r="G178" s="27"/>
      <c r="H178" s="26"/>
      <c r="I178" s="10"/>
      <c r="J178" s="28">
        <f>SUM(Q176:Q177)</f>
        <v>86.36</v>
      </c>
      <c r="K178" s="10">
        <f>Source!BZ76</f>
        <v>68</v>
      </c>
      <c r="L178" s="28">
        <f>SUM(R176:R177)</f>
        <v>1597.36</v>
      </c>
    </row>
    <row r="179" spans="1:27" ht="14.25" x14ac:dyDescent="0.2">
      <c r="A179" s="23"/>
      <c r="B179" s="23"/>
      <c r="C179" s="24"/>
      <c r="D179" s="24" t="s">
        <v>284</v>
      </c>
      <c r="E179" s="25" t="s">
        <v>283</v>
      </c>
      <c r="F179" s="10">
        <f>Source!DO76</f>
        <v>70</v>
      </c>
      <c r="G179" s="27"/>
      <c r="H179" s="26"/>
      <c r="I179" s="10"/>
      <c r="J179" s="28">
        <f>SUM(S176:S178)</f>
        <v>80.61</v>
      </c>
      <c r="K179" s="10">
        <f>Source!CA76</f>
        <v>41</v>
      </c>
      <c r="L179" s="28">
        <f>SUM(T176:T178)</f>
        <v>963.11</v>
      </c>
    </row>
    <row r="180" spans="1:27" ht="28.5" x14ac:dyDescent="0.2">
      <c r="A180" s="23"/>
      <c r="B180" s="23"/>
      <c r="C180" s="24"/>
      <c r="D180" s="24" t="s">
        <v>286</v>
      </c>
      <c r="E180" s="25" t="s">
        <v>287</v>
      </c>
      <c r="F180" s="10">
        <f>Source!AQ76</f>
        <v>4.5</v>
      </c>
      <c r="G180" s="27"/>
      <c r="H180" s="26" t="str">
        <f>Source!DI76</f>
        <v>)*1,3)*0,8</v>
      </c>
      <c r="I180" s="10">
        <f>Source!AV76</f>
        <v>1</v>
      </c>
      <c r="J180" s="28">
        <f>Source!U76</f>
        <v>9.3600000000000012</v>
      </c>
      <c r="K180" s="10"/>
      <c r="L180" s="28"/>
    </row>
    <row r="181" spans="1:27" ht="15" x14ac:dyDescent="0.25">
      <c r="A181" s="31"/>
      <c r="B181" s="31"/>
      <c r="C181" s="31"/>
      <c r="D181" s="31"/>
      <c r="E181" s="31"/>
      <c r="F181" s="31"/>
      <c r="G181" s="31"/>
      <c r="H181" s="31"/>
      <c r="I181" s="56">
        <f>J177+J178+J179</f>
        <v>282.12</v>
      </c>
      <c r="J181" s="56"/>
      <c r="K181" s="56">
        <f>L177+L178+L179</f>
        <v>4909.53</v>
      </c>
      <c r="L181" s="56"/>
      <c r="O181" s="30">
        <f>J177+J178+J179</f>
        <v>282.12</v>
      </c>
      <c r="P181" s="30">
        <f>L177+L178+L179</f>
        <v>4909.53</v>
      </c>
      <c r="X181">
        <f>IF(Source!BI76&lt;=1,J177+J178+J179-0, 0)</f>
        <v>0</v>
      </c>
      <c r="Y181">
        <f>IF(Source!BI76=2,J177+J178+J179-0, 0)</f>
        <v>0</v>
      </c>
      <c r="Z181">
        <f>IF(Source!BI76=3,J177+J178+J179-0, 0)</f>
        <v>0</v>
      </c>
      <c r="AA181">
        <f>IF(Source!BI76=4,J177+J178+J179,0)</f>
        <v>282.12</v>
      </c>
    </row>
    <row r="182" spans="1:27" ht="28.5" x14ac:dyDescent="0.2">
      <c r="A182" s="23">
        <v>15</v>
      </c>
      <c r="B182" s="23" t="str">
        <f>Source!E77</f>
        <v>15</v>
      </c>
      <c r="C182" s="24" t="str">
        <f>Source!F77</f>
        <v>5.1-168-1</v>
      </c>
      <c r="D182" s="24" t="s">
        <v>157</v>
      </c>
      <c r="E182" s="25" t="str">
        <f>Source!H77</f>
        <v>испытание</v>
      </c>
      <c r="F182" s="10">
        <f>Source!I77</f>
        <v>4</v>
      </c>
      <c r="G182" s="27"/>
      <c r="H182" s="26"/>
      <c r="I182" s="10"/>
      <c r="J182" s="28"/>
      <c r="K182" s="10"/>
      <c r="L182" s="28"/>
      <c r="Q182">
        <f>ROUND((Source!DN77/100)*ROUND((ROUND((Source!AF77*Source!AV77*Source!I77),2)),2), 2)</f>
        <v>379.61</v>
      </c>
      <c r="R182">
        <f>Source!X77</f>
        <v>7021.31</v>
      </c>
      <c r="S182">
        <f>ROUND((Source!DO77/100)*ROUND((ROUND((Source!AF77*Source!AV77*Source!I77),2)),2), 2)</f>
        <v>354.31</v>
      </c>
      <c r="T182">
        <f>Source!Y77</f>
        <v>4233.4399999999996</v>
      </c>
      <c r="U182">
        <f>ROUND((175/100)*ROUND((ROUND((Source!AE77*Source!AV77*Source!I77),2)),2), 2)</f>
        <v>0</v>
      </c>
      <c r="V182">
        <f>ROUND((157/100)*ROUND(ROUND((ROUND((Source!AE77*Source!AV77*Source!I77),2)*Source!BS77),2), 2), 2)</f>
        <v>0</v>
      </c>
    </row>
    <row r="183" spans="1:27" ht="28.5" x14ac:dyDescent="0.2">
      <c r="A183" s="23"/>
      <c r="B183" s="23"/>
      <c r="C183" s="24"/>
      <c r="D183" s="24" t="s">
        <v>278</v>
      </c>
      <c r="E183" s="25"/>
      <c r="F183" s="10"/>
      <c r="G183" s="27">
        <f>Source!AO77</f>
        <v>121.67</v>
      </c>
      <c r="H183" s="26" t="str">
        <f>Source!DG77</f>
        <v>)*1,3)*0,8</v>
      </c>
      <c r="I183" s="10">
        <f>Source!AV77</f>
        <v>1</v>
      </c>
      <c r="J183" s="28">
        <f>ROUND((ROUND((Source!AF77*Source!AV77*Source!I77),2)),2)</f>
        <v>506.15</v>
      </c>
      <c r="K183" s="10">
        <f>IF(Source!BA77&lt;&gt; 0, Source!BA77, 1)</f>
        <v>20.399999999999999</v>
      </c>
      <c r="L183" s="28">
        <f>Source!S77</f>
        <v>10325.459999999999</v>
      </c>
      <c r="W183">
        <f>J183</f>
        <v>506.15</v>
      </c>
    </row>
    <row r="184" spans="1:27" ht="14.25" x14ac:dyDescent="0.2">
      <c r="A184" s="23"/>
      <c r="B184" s="23"/>
      <c r="C184" s="24"/>
      <c r="D184" s="24" t="s">
        <v>282</v>
      </c>
      <c r="E184" s="25" t="s">
        <v>283</v>
      </c>
      <c r="F184" s="10">
        <f>Source!DN77</f>
        <v>75</v>
      </c>
      <c r="G184" s="27"/>
      <c r="H184" s="26"/>
      <c r="I184" s="10"/>
      <c r="J184" s="28">
        <f>SUM(Q182:Q183)</f>
        <v>379.61</v>
      </c>
      <c r="K184" s="10">
        <f>Source!BZ77</f>
        <v>68</v>
      </c>
      <c r="L184" s="28">
        <f>SUM(R182:R183)</f>
        <v>7021.31</v>
      </c>
    </row>
    <row r="185" spans="1:27" ht="14.25" x14ac:dyDescent="0.2">
      <c r="A185" s="23"/>
      <c r="B185" s="23"/>
      <c r="C185" s="24"/>
      <c r="D185" s="24" t="s">
        <v>284</v>
      </c>
      <c r="E185" s="25" t="s">
        <v>283</v>
      </c>
      <c r="F185" s="10">
        <f>Source!DO77</f>
        <v>70</v>
      </c>
      <c r="G185" s="27"/>
      <c r="H185" s="26"/>
      <c r="I185" s="10"/>
      <c r="J185" s="28">
        <f>SUM(S182:S184)</f>
        <v>354.31</v>
      </c>
      <c r="K185" s="10">
        <f>Source!CA77</f>
        <v>41</v>
      </c>
      <c r="L185" s="28">
        <f>SUM(T182:T184)</f>
        <v>4233.4399999999996</v>
      </c>
    </row>
    <row r="186" spans="1:27" ht="28.5" x14ac:dyDescent="0.2">
      <c r="A186" s="23"/>
      <c r="B186" s="23"/>
      <c r="C186" s="24"/>
      <c r="D186" s="24" t="s">
        <v>286</v>
      </c>
      <c r="E186" s="25" t="s">
        <v>287</v>
      </c>
      <c r="F186" s="10">
        <f>Source!AQ77</f>
        <v>8.1</v>
      </c>
      <c r="G186" s="27"/>
      <c r="H186" s="26" t="str">
        <f>Source!DI77</f>
        <v>)*1,3)*0,8</v>
      </c>
      <c r="I186" s="10">
        <f>Source!AV77</f>
        <v>1</v>
      </c>
      <c r="J186" s="28">
        <f>Source!U77</f>
        <v>33.695999999999998</v>
      </c>
      <c r="K186" s="10"/>
      <c r="L186" s="28"/>
    </row>
    <row r="187" spans="1:27" ht="15" x14ac:dyDescent="0.25">
      <c r="A187" s="31"/>
      <c r="B187" s="31"/>
      <c r="C187" s="31"/>
      <c r="D187" s="31"/>
      <c r="E187" s="31"/>
      <c r="F187" s="31"/>
      <c r="G187" s="31"/>
      <c r="H187" s="31"/>
      <c r="I187" s="56">
        <f>J183+J184+J185</f>
        <v>1240.07</v>
      </c>
      <c r="J187" s="56"/>
      <c r="K187" s="56">
        <f>L183+L184+L185</f>
        <v>21580.21</v>
      </c>
      <c r="L187" s="56"/>
      <c r="O187" s="30">
        <f>J183+J184+J185</f>
        <v>1240.07</v>
      </c>
      <c r="P187" s="30">
        <f>L183+L184+L185</f>
        <v>21580.21</v>
      </c>
      <c r="X187">
        <f>IF(Source!BI77&lt;=1,J183+J184+J185-0, 0)</f>
        <v>0</v>
      </c>
      <c r="Y187">
        <f>IF(Source!BI77=2,J183+J184+J185-0, 0)</f>
        <v>0</v>
      </c>
      <c r="Z187">
        <f>IF(Source!BI77=3,J183+J184+J185-0, 0)</f>
        <v>0</v>
      </c>
      <c r="AA187">
        <f>IF(Source!BI77=4,J183+J184+J185,0)</f>
        <v>1240.07</v>
      </c>
    </row>
    <row r="188" spans="1:27" ht="42.75" x14ac:dyDescent="0.2">
      <c r="A188" s="23">
        <v>16</v>
      </c>
      <c r="B188" s="23" t="str">
        <f>Source!E78</f>
        <v>16</v>
      </c>
      <c r="C188" s="24" t="str">
        <f>Source!F78</f>
        <v>5.1-88-2</v>
      </c>
      <c r="D188" s="24" t="s">
        <v>162</v>
      </c>
      <c r="E188" s="25" t="str">
        <f>Source!H78</f>
        <v>шт.</v>
      </c>
      <c r="F188" s="10">
        <f>Source!I78</f>
        <v>1</v>
      </c>
      <c r="G188" s="27"/>
      <c r="H188" s="26"/>
      <c r="I188" s="10"/>
      <c r="J188" s="28"/>
      <c r="K188" s="10"/>
      <c r="L188" s="28"/>
      <c r="Q188">
        <f>ROUND((Source!DN78/100)*ROUND((ROUND((Source!AF78*Source!AV78*Source!I78),2)),2), 2)</f>
        <v>401.84</v>
      </c>
      <c r="R188">
        <f>Source!X78</f>
        <v>9042.85</v>
      </c>
      <c r="S188">
        <f>ROUND((Source!DO78/100)*ROUND((ROUND((Source!AF78*Source!AV78*Source!I78),2)),2), 2)</f>
        <v>375.05</v>
      </c>
      <c r="T188">
        <f>Source!Y78</f>
        <v>5452.31</v>
      </c>
      <c r="U188">
        <f>ROUND((175/100)*ROUND((ROUND((Source!AE78*Source!AV78*Source!I78),2)),2), 2)</f>
        <v>0</v>
      </c>
      <c r="V188">
        <f>ROUND((157/100)*ROUND(ROUND((ROUND((Source!AE78*Source!AV78*Source!I78),2)*Source!BS78),2), 2), 2)</f>
        <v>0</v>
      </c>
    </row>
    <row r="189" spans="1:27" ht="28.5" x14ac:dyDescent="0.2">
      <c r="A189" s="23"/>
      <c r="B189" s="23"/>
      <c r="C189" s="24"/>
      <c r="D189" s="24" t="s">
        <v>278</v>
      </c>
      <c r="E189" s="25"/>
      <c r="F189" s="10"/>
      <c r="G189" s="27">
        <f>Source!AO78</f>
        <v>515.17999999999995</v>
      </c>
      <c r="H189" s="26" t="str">
        <f>Source!DG78</f>
        <v>)*1,3)*0,8</v>
      </c>
      <c r="I189" s="10">
        <f>Source!AV78</f>
        <v>1</v>
      </c>
      <c r="J189" s="28">
        <f>ROUND((ROUND((Source!AF78*Source!AV78*Source!I78),2)),2)</f>
        <v>535.79</v>
      </c>
      <c r="K189" s="10">
        <f>IF(Source!BA78&lt;&gt; 0, Source!BA78, 1)</f>
        <v>24.82</v>
      </c>
      <c r="L189" s="28">
        <f>Source!S78</f>
        <v>13298.31</v>
      </c>
      <c r="W189">
        <f>J189</f>
        <v>535.79</v>
      </c>
    </row>
    <row r="190" spans="1:27" ht="14.25" x14ac:dyDescent="0.2">
      <c r="A190" s="23"/>
      <c r="B190" s="23"/>
      <c r="C190" s="24"/>
      <c r="D190" s="24" t="s">
        <v>282</v>
      </c>
      <c r="E190" s="25" t="s">
        <v>283</v>
      </c>
      <c r="F190" s="10">
        <f>Source!DN78</f>
        <v>75</v>
      </c>
      <c r="G190" s="27"/>
      <c r="H190" s="26"/>
      <c r="I190" s="10"/>
      <c r="J190" s="28">
        <f>SUM(Q188:Q189)</f>
        <v>401.84</v>
      </c>
      <c r="K190" s="10">
        <f>Source!BZ78</f>
        <v>68</v>
      </c>
      <c r="L190" s="28">
        <f>SUM(R188:R189)</f>
        <v>9042.85</v>
      </c>
    </row>
    <row r="191" spans="1:27" ht="14.25" x14ac:dyDescent="0.2">
      <c r="A191" s="23"/>
      <c r="B191" s="23"/>
      <c r="C191" s="24"/>
      <c r="D191" s="24" t="s">
        <v>284</v>
      </c>
      <c r="E191" s="25" t="s">
        <v>283</v>
      </c>
      <c r="F191" s="10">
        <f>Source!DO78</f>
        <v>70</v>
      </c>
      <c r="G191" s="27"/>
      <c r="H191" s="26"/>
      <c r="I191" s="10"/>
      <c r="J191" s="28">
        <f>SUM(S188:S190)</f>
        <v>375.05</v>
      </c>
      <c r="K191" s="10">
        <f>Source!CA78</f>
        <v>41</v>
      </c>
      <c r="L191" s="28">
        <f>SUM(T188:T190)</f>
        <v>5452.31</v>
      </c>
    </row>
    <row r="192" spans="1:27" ht="28.5" x14ac:dyDescent="0.2">
      <c r="A192" s="23"/>
      <c r="B192" s="23"/>
      <c r="C192" s="24"/>
      <c r="D192" s="24" t="s">
        <v>286</v>
      </c>
      <c r="E192" s="25" t="s">
        <v>287</v>
      </c>
      <c r="F192" s="10">
        <f>Source!AQ78</f>
        <v>31</v>
      </c>
      <c r="G192" s="27"/>
      <c r="H192" s="26" t="str">
        <f>Source!DI78</f>
        <v>)*1,3)*0,8</v>
      </c>
      <c r="I192" s="10">
        <f>Source!AV78</f>
        <v>1</v>
      </c>
      <c r="J192" s="28">
        <f>Source!U78</f>
        <v>32.24</v>
      </c>
      <c r="K192" s="10"/>
      <c r="L192" s="28"/>
    </row>
    <row r="193" spans="1:27" ht="15" x14ac:dyDescent="0.25">
      <c r="A193" s="31"/>
      <c r="B193" s="31"/>
      <c r="C193" s="31"/>
      <c r="D193" s="31"/>
      <c r="E193" s="31"/>
      <c r="F193" s="31"/>
      <c r="G193" s="31"/>
      <c r="H193" s="31"/>
      <c r="I193" s="56">
        <f>J189+J190+J191</f>
        <v>1312.6799999999998</v>
      </c>
      <c r="J193" s="56"/>
      <c r="K193" s="56">
        <f>L189+L190+L191</f>
        <v>27793.47</v>
      </c>
      <c r="L193" s="56"/>
      <c r="O193" s="30">
        <f>J189+J190+J191</f>
        <v>1312.6799999999998</v>
      </c>
      <c r="P193" s="30">
        <f>L189+L190+L191</f>
        <v>27793.47</v>
      </c>
      <c r="X193">
        <f>IF(Source!BI78&lt;=1,J189+J190+J191-0, 0)</f>
        <v>0</v>
      </c>
      <c r="Y193">
        <f>IF(Source!BI78=2,J189+J190+J191-0, 0)</f>
        <v>0</v>
      </c>
      <c r="Z193">
        <f>IF(Source!BI78=3,J189+J190+J191-0, 0)</f>
        <v>0</v>
      </c>
      <c r="AA193">
        <f>IF(Source!BI78=4,J189+J190+J191,0)</f>
        <v>1312.6799999999998</v>
      </c>
    </row>
    <row r="194" spans="1:27" ht="71.25" x14ac:dyDescent="0.2">
      <c r="A194" s="23">
        <v>17</v>
      </c>
      <c r="B194" s="23" t="str">
        <f>Source!E79</f>
        <v>17</v>
      </c>
      <c r="C194" s="24" t="str">
        <f>Source!F79</f>
        <v>5.1-141-2</v>
      </c>
      <c r="D194" s="24" t="s">
        <v>166</v>
      </c>
      <c r="E194" s="25" t="str">
        <f>Source!H79</f>
        <v>шт.</v>
      </c>
      <c r="F194" s="10">
        <f>Source!I79</f>
        <v>2</v>
      </c>
      <c r="G194" s="27"/>
      <c r="H194" s="26"/>
      <c r="I194" s="10"/>
      <c r="J194" s="28"/>
      <c r="K194" s="10"/>
      <c r="L194" s="28"/>
      <c r="Q194">
        <f>ROUND((Source!DN79/100)*ROUND((ROUND((Source!AF79*Source!AV79*Source!I79),2)),2), 2)</f>
        <v>172.17</v>
      </c>
      <c r="R194">
        <f>Source!X79</f>
        <v>3829.15</v>
      </c>
      <c r="S194">
        <f>ROUND((Source!DO79/100)*ROUND((ROUND((Source!AF79*Source!AV79*Source!I79),2)),2), 2)</f>
        <v>160.69</v>
      </c>
      <c r="T194">
        <f>Source!Y79</f>
        <v>2308.7600000000002</v>
      </c>
      <c r="U194">
        <f>ROUND((175/100)*ROUND((ROUND((Source!AE79*Source!AV79*Source!I79),2)),2), 2)</f>
        <v>0</v>
      </c>
      <c r="V194">
        <f>ROUND((157/100)*ROUND(ROUND((ROUND((Source!AE79*Source!AV79*Source!I79),2)*Source!BS79),2), 2), 2)</f>
        <v>0</v>
      </c>
    </row>
    <row r="195" spans="1:27" ht="28.5" x14ac:dyDescent="0.2">
      <c r="A195" s="23"/>
      <c r="B195" s="23"/>
      <c r="C195" s="24"/>
      <c r="D195" s="24" t="s">
        <v>278</v>
      </c>
      <c r="E195" s="25"/>
      <c r="F195" s="10"/>
      <c r="G195" s="27">
        <f>Source!AO79</f>
        <v>119.56</v>
      </c>
      <c r="H195" s="26" t="str">
        <f>Source!DG79</f>
        <v>)*1,2)*0,8</v>
      </c>
      <c r="I195" s="10">
        <f>Source!AV79</f>
        <v>1</v>
      </c>
      <c r="J195" s="28">
        <f>ROUND((ROUND((Source!AF79*Source!AV79*Source!I79),2)),2)</f>
        <v>229.56</v>
      </c>
      <c r="K195" s="10">
        <f>IF(Source!BA79&lt;&gt; 0, Source!BA79, 1)</f>
        <v>24.53</v>
      </c>
      <c r="L195" s="28">
        <f>Source!S79</f>
        <v>5631.11</v>
      </c>
      <c r="W195">
        <f>J195</f>
        <v>229.56</v>
      </c>
    </row>
    <row r="196" spans="1:27" ht="14.25" x14ac:dyDescent="0.2">
      <c r="A196" s="23"/>
      <c r="B196" s="23"/>
      <c r="C196" s="24"/>
      <c r="D196" s="24" t="s">
        <v>282</v>
      </c>
      <c r="E196" s="25" t="s">
        <v>283</v>
      </c>
      <c r="F196" s="10">
        <f>Source!DN79</f>
        <v>75</v>
      </c>
      <c r="G196" s="27"/>
      <c r="H196" s="26"/>
      <c r="I196" s="10"/>
      <c r="J196" s="28">
        <f>SUM(Q194:Q195)</f>
        <v>172.17</v>
      </c>
      <c r="K196" s="10">
        <f>Source!BZ79</f>
        <v>68</v>
      </c>
      <c r="L196" s="28">
        <f>SUM(R194:R195)</f>
        <v>3829.15</v>
      </c>
    </row>
    <row r="197" spans="1:27" ht="14.25" x14ac:dyDescent="0.2">
      <c r="A197" s="23"/>
      <c r="B197" s="23"/>
      <c r="C197" s="24"/>
      <c r="D197" s="24" t="s">
        <v>284</v>
      </c>
      <c r="E197" s="25" t="s">
        <v>283</v>
      </c>
      <c r="F197" s="10">
        <f>Source!DO79</f>
        <v>70</v>
      </c>
      <c r="G197" s="27"/>
      <c r="H197" s="26"/>
      <c r="I197" s="10"/>
      <c r="J197" s="28">
        <f>SUM(S194:S196)</f>
        <v>160.69</v>
      </c>
      <c r="K197" s="10">
        <f>Source!CA79</f>
        <v>41</v>
      </c>
      <c r="L197" s="28">
        <f>SUM(T194:T196)</f>
        <v>2308.7600000000002</v>
      </c>
    </row>
    <row r="198" spans="1:27" ht="28.5" x14ac:dyDescent="0.2">
      <c r="A198" s="23"/>
      <c r="B198" s="23"/>
      <c r="C198" s="24"/>
      <c r="D198" s="24" t="s">
        <v>286</v>
      </c>
      <c r="E198" s="25" t="s">
        <v>287</v>
      </c>
      <c r="F198" s="10">
        <f>Source!AQ79</f>
        <v>7.2</v>
      </c>
      <c r="G198" s="27"/>
      <c r="H198" s="26" t="str">
        <f>Source!DI79</f>
        <v>)*1,2)*0,8</v>
      </c>
      <c r="I198" s="10">
        <f>Source!AV79</f>
        <v>1</v>
      </c>
      <c r="J198" s="28">
        <f>Source!U79</f>
        <v>13.824000000000002</v>
      </c>
      <c r="K198" s="10"/>
      <c r="L198" s="28"/>
    </row>
    <row r="199" spans="1:27" ht="15" x14ac:dyDescent="0.25">
      <c r="A199" s="31"/>
      <c r="B199" s="31"/>
      <c r="C199" s="31"/>
      <c r="D199" s="31"/>
      <c r="E199" s="31"/>
      <c r="F199" s="31"/>
      <c r="G199" s="31"/>
      <c r="H199" s="31"/>
      <c r="I199" s="56">
        <f>J195+J196+J197</f>
        <v>562.42000000000007</v>
      </c>
      <c r="J199" s="56"/>
      <c r="K199" s="56">
        <f>L195+L196+L197</f>
        <v>11769.02</v>
      </c>
      <c r="L199" s="56"/>
      <c r="O199" s="30">
        <f>J195+J196+J197</f>
        <v>562.42000000000007</v>
      </c>
      <c r="P199" s="30">
        <f>L195+L196+L197</f>
        <v>11769.02</v>
      </c>
      <c r="X199">
        <f>IF(Source!BI79&lt;=1,J195+J196+J197-0, 0)</f>
        <v>0</v>
      </c>
      <c r="Y199">
        <f>IF(Source!BI79=2,J195+J196+J197-0, 0)</f>
        <v>0</v>
      </c>
      <c r="Z199">
        <f>IF(Source!BI79=3,J195+J196+J197-0, 0)</f>
        <v>0</v>
      </c>
      <c r="AA199">
        <f>IF(Source!BI79=4,J195+J196+J197,0)</f>
        <v>562.42000000000007</v>
      </c>
    </row>
    <row r="200" spans="1:27" ht="42.75" x14ac:dyDescent="0.2">
      <c r="A200" s="23">
        <v>18</v>
      </c>
      <c r="B200" s="23" t="str">
        <f>Source!E80</f>
        <v>18</v>
      </c>
      <c r="C200" s="24" t="str">
        <f>Source!F80</f>
        <v>5.1-152-1</v>
      </c>
      <c r="D200" s="24" t="s">
        <v>172</v>
      </c>
      <c r="E200" s="25" t="str">
        <f>Source!H80</f>
        <v>точка</v>
      </c>
      <c r="F200" s="10">
        <f>Source!I80</f>
        <v>32</v>
      </c>
      <c r="G200" s="27"/>
      <c r="H200" s="26"/>
      <c r="I200" s="10"/>
      <c r="J200" s="28"/>
      <c r="K200" s="10"/>
      <c r="L200" s="28"/>
      <c r="Q200">
        <f>ROUND((Source!DN80/100)*ROUND((ROUND((Source!AF80*Source!AV80*Source!I80),2)),2), 2)</f>
        <v>59.15</v>
      </c>
      <c r="R200">
        <f>Source!X80</f>
        <v>1331.13</v>
      </c>
      <c r="S200">
        <f>ROUND((Source!DO80/100)*ROUND((ROUND((Source!AF80*Source!AV80*Source!I80),2)),2), 2)</f>
        <v>55.21</v>
      </c>
      <c r="T200">
        <f>Source!Y80</f>
        <v>802.6</v>
      </c>
      <c r="U200">
        <f>ROUND((175/100)*ROUND((ROUND((Source!AE80*Source!AV80*Source!I80),2)),2), 2)</f>
        <v>0</v>
      </c>
      <c r="V200">
        <f>ROUND((157/100)*ROUND(ROUND((ROUND((Source!AE80*Source!AV80*Source!I80),2)*Source!BS80),2), 2), 2)</f>
        <v>0</v>
      </c>
    </row>
    <row r="201" spans="1:27" ht="28.5" x14ac:dyDescent="0.2">
      <c r="A201" s="23"/>
      <c r="B201" s="23"/>
      <c r="C201" s="24"/>
      <c r="D201" s="24" t="s">
        <v>278</v>
      </c>
      <c r="E201" s="25"/>
      <c r="F201" s="10"/>
      <c r="G201" s="27">
        <f>Source!AO80</f>
        <v>2.37</v>
      </c>
      <c r="H201" s="26" t="str">
        <f>Source!DG80</f>
        <v>)*1,3)*0,8</v>
      </c>
      <c r="I201" s="10">
        <f>Source!AV80</f>
        <v>1</v>
      </c>
      <c r="J201" s="28">
        <f>ROUND((ROUND((Source!AF80*Source!AV80*Source!I80),2)),2)</f>
        <v>78.87</v>
      </c>
      <c r="K201" s="10">
        <f>IF(Source!BA80&lt;&gt; 0, Source!BA80, 1)</f>
        <v>24.82</v>
      </c>
      <c r="L201" s="28">
        <f>Source!S80</f>
        <v>1957.55</v>
      </c>
      <c r="W201">
        <f>J201</f>
        <v>78.87</v>
      </c>
    </row>
    <row r="202" spans="1:27" ht="14.25" x14ac:dyDescent="0.2">
      <c r="A202" s="23"/>
      <c r="B202" s="23"/>
      <c r="C202" s="24"/>
      <c r="D202" s="24" t="s">
        <v>282</v>
      </c>
      <c r="E202" s="25" t="s">
        <v>283</v>
      </c>
      <c r="F202" s="10">
        <f>Source!DN80</f>
        <v>75</v>
      </c>
      <c r="G202" s="27"/>
      <c r="H202" s="26"/>
      <c r="I202" s="10"/>
      <c r="J202" s="28">
        <f>SUM(Q200:Q201)</f>
        <v>59.15</v>
      </c>
      <c r="K202" s="10">
        <f>Source!BZ80</f>
        <v>68</v>
      </c>
      <c r="L202" s="28">
        <f>SUM(R200:R201)</f>
        <v>1331.13</v>
      </c>
    </row>
    <row r="203" spans="1:27" ht="14.25" x14ac:dyDescent="0.2">
      <c r="A203" s="23"/>
      <c r="B203" s="23"/>
      <c r="C203" s="24"/>
      <c r="D203" s="24" t="s">
        <v>284</v>
      </c>
      <c r="E203" s="25" t="s">
        <v>283</v>
      </c>
      <c r="F203" s="10">
        <f>Source!DO80</f>
        <v>70</v>
      </c>
      <c r="G203" s="27"/>
      <c r="H203" s="26"/>
      <c r="I203" s="10"/>
      <c r="J203" s="28">
        <f>SUM(S200:S202)</f>
        <v>55.21</v>
      </c>
      <c r="K203" s="10">
        <f>Source!CA80</f>
        <v>41</v>
      </c>
      <c r="L203" s="28">
        <f>SUM(T200:T202)</f>
        <v>802.6</v>
      </c>
    </row>
    <row r="204" spans="1:27" ht="28.5" x14ac:dyDescent="0.2">
      <c r="A204" s="23"/>
      <c r="B204" s="23"/>
      <c r="C204" s="24"/>
      <c r="D204" s="24" t="s">
        <v>286</v>
      </c>
      <c r="E204" s="25" t="s">
        <v>287</v>
      </c>
      <c r="F204" s="10">
        <f>Source!AQ80</f>
        <v>0.15</v>
      </c>
      <c r="G204" s="27"/>
      <c r="H204" s="26" t="str">
        <f>Source!DI80</f>
        <v>)*1,3)*0,8</v>
      </c>
      <c r="I204" s="10">
        <f>Source!AV80</f>
        <v>1</v>
      </c>
      <c r="J204" s="28">
        <f>Source!U80</f>
        <v>4.9920000000000009</v>
      </c>
      <c r="K204" s="10"/>
      <c r="L204" s="28"/>
    </row>
    <row r="205" spans="1:27" ht="15" x14ac:dyDescent="0.25">
      <c r="A205" s="31"/>
      <c r="B205" s="31"/>
      <c r="C205" s="31"/>
      <c r="D205" s="31"/>
      <c r="E205" s="31"/>
      <c r="F205" s="31"/>
      <c r="G205" s="31"/>
      <c r="H205" s="31"/>
      <c r="I205" s="56">
        <f>J201+J202+J203</f>
        <v>193.23000000000002</v>
      </c>
      <c r="J205" s="56"/>
      <c r="K205" s="56">
        <f>L201+L202+L203</f>
        <v>4091.28</v>
      </c>
      <c r="L205" s="56"/>
      <c r="O205" s="30">
        <f>J201+J202+J203</f>
        <v>193.23000000000002</v>
      </c>
      <c r="P205" s="30">
        <f>L201+L202+L203</f>
        <v>4091.28</v>
      </c>
      <c r="X205">
        <f>IF(Source!BI80&lt;=1,J201+J202+J203-0, 0)</f>
        <v>0</v>
      </c>
      <c r="Y205">
        <f>IF(Source!BI80=2,J201+J202+J203-0, 0)</f>
        <v>0</v>
      </c>
      <c r="Z205">
        <f>IF(Source!BI80=3,J201+J202+J203-0, 0)</f>
        <v>0</v>
      </c>
      <c r="AA205">
        <f>IF(Source!BI80=4,J201+J202+J203,0)</f>
        <v>193.23000000000002</v>
      </c>
    </row>
    <row r="206" spans="1:27" ht="28.5" x14ac:dyDescent="0.2">
      <c r="A206" s="23">
        <v>19</v>
      </c>
      <c r="B206" s="23" t="str">
        <f>Source!E81</f>
        <v>19</v>
      </c>
      <c r="C206" s="24" t="str">
        <f>Source!F81</f>
        <v>5.1-154-1</v>
      </c>
      <c r="D206" s="24" t="s">
        <v>177</v>
      </c>
      <c r="E206" s="25" t="str">
        <f>Source!H81</f>
        <v>токоприемник</v>
      </c>
      <c r="F206" s="10">
        <f>Source!I81</f>
        <v>8</v>
      </c>
      <c r="G206" s="27"/>
      <c r="H206" s="26"/>
      <c r="I206" s="10"/>
      <c r="J206" s="28"/>
      <c r="K206" s="10"/>
      <c r="L206" s="28"/>
      <c r="Q206">
        <f>ROUND((Source!DN81/100)*ROUND((ROUND((Source!AF81*Source!AV81*Source!I81),2)),2), 2)</f>
        <v>98.78</v>
      </c>
      <c r="R206">
        <f>Source!X81</f>
        <v>2222.9499999999998</v>
      </c>
      <c r="S206">
        <f>ROUND((Source!DO81/100)*ROUND((ROUND((Source!AF81*Source!AV81*Source!I81),2)),2), 2)</f>
        <v>92.2</v>
      </c>
      <c r="T206">
        <f>Source!Y81</f>
        <v>1340.31</v>
      </c>
      <c r="U206">
        <f>ROUND((175/100)*ROUND((ROUND((Source!AE81*Source!AV81*Source!I81),2)),2), 2)</f>
        <v>0</v>
      </c>
      <c r="V206">
        <f>ROUND((157/100)*ROUND(ROUND((ROUND((Source!AE81*Source!AV81*Source!I81),2)*Source!BS81),2), 2), 2)</f>
        <v>0</v>
      </c>
    </row>
    <row r="207" spans="1:27" ht="28.5" x14ac:dyDescent="0.2">
      <c r="A207" s="23"/>
      <c r="B207" s="23"/>
      <c r="C207" s="24"/>
      <c r="D207" s="24" t="s">
        <v>278</v>
      </c>
      <c r="E207" s="25"/>
      <c r="F207" s="10"/>
      <c r="G207" s="27">
        <f>Source!AO81</f>
        <v>15.83</v>
      </c>
      <c r="H207" s="26" t="str">
        <f>Source!DG81</f>
        <v>)*1,3)*0,8</v>
      </c>
      <c r="I207" s="10">
        <f>Source!AV81</f>
        <v>1</v>
      </c>
      <c r="J207" s="28">
        <f>ROUND((ROUND((Source!AF81*Source!AV81*Source!I81),2)),2)</f>
        <v>131.71</v>
      </c>
      <c r="K207" s="10">
        <f>IF(Source!BA81&lt;&gt; 0, Source!BA81, 1)</f>
        <v>24.82</v>
      </c>
      <c r="L207" s="28">
        <f>Source!S81</f>
        <v>3269.04</v>
      </c>
      <c r="W207">
        <f>J207</f>
        <v>131.71</v>
      </c>
    </row>
    <row r="208" spans="1:27" ht="14.25" x14ac:dyDescent="0.2">
      <c r="A208" s="23"/>
      <c r="B208" s="23"/>
      <c r="C208" s="24"/>
      <c r="D208" s="24" t="s">
        <v>282</v>
      </c>
      <c r="E208" s="25" t="s">
        <v>283</v>
      </c>
      <c r="F208" s="10">
        <f>Source!DN81</f>
        <v>75</v>
      </c>
      <c r="G208" s="27"/>
      <c r="H208" s="26"/>
      <c r="I208" s="10"/>
      <c r="J208" s="28">
        <f>SUM(Q206:Q207)</f>
        <v>98.78</v>
      </c>
      <c r="K208" s="10">
        <f>Source!BZ81</f>
        <v>68</v>
      </c>
      <c r="L208" s="28">
        <f>SUM(R206:R207)</f>
        <v>2222.9499999999998</v>
      </c>
    </row>
    <row r="209" spans="1:27" ht="14.25" x14ac:dyDescent="0.2">
      <c r="A209" s="23"/>
      <c r="B209" s="23"/>
      <c r="C209" s="24"/>
      <c r="D209" s="24" t="s">
        <v>284</v>
      </c>
      <c r="E209" s="25" t="s">
        <v>283</v>
      </c>
      <c r="F209" s="10">
        <f>Source!DO81</f>
        <v>70</v>
      </c>
      <c r="G209" s="27"/>
      <c r="H209" s="26"/>
      <c r="I209" s="10"/>
      <c r="J209" s="28">
        <f>SUM(S206:S208)</f>
        <v>92.2</v>
      </c>
      <c r="K209" s="10">
        <f>Source!CA81</f>
        <v>41</v>
      </c>
      <c r="L209" s="28">
        <f>SUM(T206:T208)</f>
        <v>1340.31</v>
      </c>
    </row>
    <row r="210" spans="1:27" ht="28.5" x14ac:dyDescent="0.2">
      <c r="A210" s="23"/>
      <c r="B210" s="23"/>
      <c r="C210" s="24"/>
      <c r="D210" s="24" t="s">
        <v>286</v>
      </c>
      <c r="E210" s="25" t="s">
        <v>287</v>
      </c>
      <c r="F210" s="10">
        <f>Source!AQ81</f>
        <v>1</v>
      </c>
      <c r="G210" s="27"/>
      <c r="H210" s="26" t="str">
        <f>Source!DI81</f>
        <v>)*1,3)*0,8</v>
      </c>
      <c r="I210" s="10">
        <f>Source!AV81</f>
        <v>1</v>
      </c>
      <c r="J210" s="28">
        <f>Source!U81</f>
        <v>8.32</v>
      </c>
      <c r="K210" s="10"/>
      <c r="L210" s="28"/>
    </row>
    <row r="211" spans="1:27" ht="15" x14ac:dyDescent="0.25">
      <c r="A211" s="31"/>
      <c r="B211" s="31"/>
      <c r="C211" s="31"/>
      <c r="D211" s="31"/>
      <c r="E211" s="31"/>
      <c r="F211" s="31"/>
      <c r="G211" s="31"/>
      <c r="H211" s="31"/>
      <c r="I211" s="56">
        <f>J207+J208+J209</f>
        <v>322.69</v>
      </c>
      <c r="J211" s="56"/>
      <c r="K211" s="56">
        <f>L207+L208+L209</f>
        <v>6832.2999999999993</v>
      </c>
      <c r="L211" s="56"/>
      <c r="O211" s="30">
        <f>J207+J208+J209</f>
        <v>322.69</v>
      </c>
      <c r="P211" s="30">
        <f>L207+L208+L209</f>
        <v>6832.2999999999993</v>
      </c>
      <c r="X211">
        <f>IF(Source!BI81&lt;=1,J207+J208+J209-0, 0)</f>
        <v>0</v>
      </c>
      <c r="Y211">
        <f>IF(Source!BI81=2,J207+J208+J209-0, 0)</f>
        <v>0</v>
      </c>
      <c r="Z211">
        <f>IF(Source!BI81=3,J207+J208+J209-0, 0)</f>
        <v>0</v>
      </c>
      <c r="AA211">
        <f>IF(Source!BI81=4,J207+J208+J209,0)</f>
        <v>322.69</v>
      </c>
    </row>
    <row r="212" spans="1:27" ht="42.75" x14ac:dyDescent="0.2">
      <c r="A212" s="23">
        <v>20</v>
      </c>
      <c r="B212" s="23" t="str">
        <f>Source!E82</f>
        <v>20</v>
      </c>
      <c r="C212" s="24" t="str">
        <f>Source!F82</f>
        <v>5.1-158-1</v>
      </c>
      <c r="D212" s="24" t="s">
        <v>182</v>
      </c>
      <c r="E212" s="25" t="str">
        <f>Source!H82</f>
        <v>фазировка</v>
      </c>
      <c r="F212" s="10">
        <f>Source!I82</f>
        <v>8</v>
      </c>
      <c r="G212" s="27"/>
      <c r="H212" s="26"/>
      <c r="I212" s="10"/>
      <c r="J212" s="28"/>
      <c r="K212" s="10"/>
      <c r="L212" s="28"/>
      <c r="Q212">
        <f>ROUND((Source!DN82/100)*ROUND((ROUND((Source!AF82*Source!AV82*Source!I82),2)),2), 2)</f>
        <v>88.86</v>
      </c>
      <c r="R212">
        <f>Source!X82</f>
        <v>1999.66</v>
      </c>
      <c r="S212">
        <f>ROUND((Source!DO82/100)*ROUND((ROUND((Source!AF82*Source!AV82*Source!I82),2)),2), 2)</f>
        <v>82.94</v>
      </c>
      <c r="T212">
        <f>Source!Y82</f>
        <v>1205.67</v>
      </c>
      <c r="U212">
        <f>ROUND((175/100)*ROUND((ROUND((Source!AE82*Source!AV82*Source!I82),2)),2), 2)</f>
        <v>0</v>
      </c>
      <c r="V212">
        <f>ROUND((157/100)*ROUND(ROUND((ROUND((Source!AE82*Source!AV82*Source!I82),2)*Source!BS82),2), 2), 2)</f>
        <v>0</v>
      </c>
    </row>
    <row r="213" spans="1:27" ht="28.5" x14ac:dyDescent="0.2">
      <c r="A213" s="23"/>
      <c r="B213" s="23"/>
      <c r="C213" s="24"/>
      <c r="D213" s="24" t="s">
        <v>278</v>
      </c>
      <c r="E213" s="25"/>
      <c r="F213" s="10"/>
      <c r="G213" s="27">
        <f>Source!AO82</f>
        <v>14.24</v>
      </c>
      <c r="H213" s="26" t="str">
        <f>Source!DG82</f>
        <v>)*1,3)*0,8</v>
      </c>
      <c r="I213" s="10">
        <f>Source!AV82</f>
        <v>1</v>
      </c>
      <c r="J213" s="28">
        <f>ROUND((ROUND((Source!AF82*Source!AV82*Source!I82),2)),2)</f>
        <v>118.48</v>
      </c>
      <c r="K213" s="10">
        <f>IF(Source!BA82&lt;&gt; 0, Source!BA82, 1)</f>
        <v>24.82</v>
      </c>
      <c r="L213" s="28">
        <f>Source!S82</f>
        <v>2940.67</v>
      </c>
      <c r="W213">
        <f>J213</f>
        <v>118.48</v>
      </c>
    </row>
    <row r="214" spans="1:27" ht="14.25" x14ac:dyDescent="0.2">
      <c r="A214" s="23"/>
      <c r="B214" s="23"/>
      <c r="C214" s="24"/>
      <c r="D214" s="24" t="s">
        <v>282</v>
      </c>
      <c r="E214" s="25" t="s">
        <v>283</v>
      </c>
      <c r="F214" s="10">
        <f>Source!DN82</f>
        <v>75</v>
      </c>
      <c r="G214" s="27"/>
      <c r="H214" s="26"/>
      <c r="I214" s="10"/>
      <c r="J214" s="28">
        <f>SUM(Q212:Q213)</f>
        <v>88.86</v>
      </c>
      <c r="K214" s="10">
        <f>Source!BZ82</f>
        <v>68</v>
      </c>
      <c r="L214" s="28">
        <f>SUM(R212:R213)</f>
        <v>1999.66</v>
      </c>
    </row>
    <row r="215" spans="1:27" ht="14.25" x14ac:dyDescent="0.2">
      <c r="A215" s="23"/>
      <c r="B215" s="23"/>
      <c r="C215" s="24"/>
      <c r="D215" s="24" t="s">
        <v>284</v>
      </c>
      <c r="E215" s="25" t="s">
        <v>283</v>
      </c>
      <c r="F215" s="10">
        <f>Source!DO82</f>
        <v>70</v>
      </c>
      <c r="G215" s="27"/>
      <c r="H215" s="26"/>
      <c r="I215" s="10"/>
      <c r="J215" s="28">
        <f>SUM(S212:S214)</f>
        <v>82.94</v>
      </c>
      <c r="K215" s="10">
        <f>Source!CA82</f>
        <v>41</v>
      </c>
      <c r="L215" s="28">
        <f>SUM(T212:T214)</f>
        <v>1205.67</v>
      </c>
    </row>
    <row r="216" spans="1:27" ht="28.5" x14ac:dyDescent="0.2">
      <c r="A216" s="23"/>
      <c r="B216" s="23"/>
      <c r="C216" s="24"/>
      <c r="D216" s="24" t="s">
        <v>286</v>
      </c>
      <c r="E216" s="25" t="s">
        <v>287</v>
      </c>
      <c r="F216" s="10">
        <f>Source!AQ82</f>
        <v>0.9</v>
      </c>
      <c r="G216" s="27"/>
      <c r="H216" s="26" t="str">
        <f>Source!DI82</f>
        <v>)*1,3)*0,8</v>
      </c>
      <c r="I216" s="10">
        <f>Source!AV82</f>
        <v>1</v>
      </c>
      <c r="J216" s="28">
        <f>Source!U82</f>
        <v>7.4880000000000013</v>
      </c>
      <c r="K216" s="10"/>
      <c r="L216" s="28"/>
    </row>
    <row r="217" spans="1:27" ht="15" x14ac:dyDescent="0.25">
      <c r="A217" s="31"/>
      <c r="B217" s="31"/>
      <c r="C217" s="31"/>
      <c r="D217" s="31"/>
      <c r="E217" s="31"/>
      <c r="F217" s="31"/>
      <c r="G217" s="31"/>
      <c r="H217" s="31"/>
      <c r="I217" s="56">
        <f>J213+J214+J215</f>
        <v>290.27999999999997</v>
      </c>
      <c r="J217" s="56"/>
      <c r="K217" s="56">
        <f>L213+L214+L215</f>
        <v>6146</v>
      </c>
      <c r="L217" s="56"/>
      <c r="O217" s="30">
        <f>J213+J214+J215</f>
        <v>290.27999999999997</v>
      </c>
      <c r="P217" s="30">
        <f>L213+L214+L215</f>
        <v>6146</v>
      </c>
      <c r="X217">
        <f>IF(Source!BI82&lt;=1,J213+J214+J215-0, 0)</f>
        <v>0</v>
      </c>
      <c r="Y217">
        <f>IF(Source!BI82=2,J213+J214+J215-0, 0)</f>
        <v>0</v>
      </c>
      <c r="Z217">
        <f>IF(Source!BI82=3,J213+J214+J215-0, 0)</f>
        <v>0</v>
      </c>
      <c r="AA217">
        <f>IF(Source!BI82=4,J213+J214+J215,0)</f>
        <v>290.27999999999997</v>
      </c>
    </row>
    <row r="218" spans="1:27" ht="128.25" x14ac:dyDescent="0.2">
      <c r="A218" s="23">
        <v>21</v>
      </c>
      <c r="B218" s="23" t="str">
        <f>Source!E83</f>
        <v>21</v>
      </c>
      <c r="C218" s="24" t="str">
        <f>Source!F83</f>
        <v>5.1-162-1</v>
      </c>
      <c r="D218" s="24" t="s">
        <v>187</v>
      </c>
      <c r="E218" s="25" t="str">
        <f>Source!H83</f>
        <v>измерение</v>
      </c>
      <c r="F218" s="10">
        <f>Source!I83</f>
        <v>27</v>
      </c>
      <c r="G218" s="27"/>
      <c r="H218" s="26"/>
      <c r="I218" s="10"/>
      <c r="J218" s="28"/>
      <c r="K218" s="10"/>
      <c r="L218" s="28"/>
      <c r="Q218">
        <f>ROUND((Source!DN83/100)*ROUND((ROUND((Source!AF83*Source!AV83*Source!I83),2)),2), 2)</f>
        <v>120.05</v>
      </c>
      <c r="R218">
        <f>Source!X83</f>
        <v>2701.43</v>
      </c>
      <c r="S218">
        <f>ROUND((Source!DO83/100)*ROUND((ROUND((Source!AF83*Source!AV83*Source!I83),2)),2), 2)</f>
        <v>112.04</v>
      </c>
      <c r="T218">
        <f>Source!Y83</f>
        <v>1628.8</v>
      </c>
      <c r="U218">
        <f>ROUND((175/100)*ROUND((ROUND((Source!AE83*Source!AV83*Source!I83),2)),2), 2)</f>
        <v>0</v>
      </c>
      <c r="V218">
        <f>ROUND((157/100)*ROUND(ROUND((ROUND((Source!AE83*Source!AV83*Source!I83),2)*Source!BS83),2), 2), 2)</f>
        <v>0</v>
      </c>
    </row>
    <row r="219" spans="1:27" ht="28.5" x14ac:dyDescent="0.2">
      <c r="A219" s="23"/>
      <c r="B219" s="23"/>
      <c r="C219" s="24"/>
      <c r="D219" s="24" t="s">
        <v>278</v>
      </c>
      <c r="E219" s="25"/>
      <c r="F219" s="10"/>
      <c r="G219" s="27">
        <f>Source!AO83</f>
        <v>5.7</v>
      </c>
      <c r="H219" s="26" t="str">
        <f>Source!DG83</f>
        <v>)*1,3)*0,8</v>
      </c>
      <c r="I219" s="10">
        <f>Source!AV83</f>
        <v>1</v>
      </c>
      <c r="J219" s="28">
        <f>ROUND((ROUND((Source!AF83*Source!AV83*Source!I83),2)),2)</f>
        <v>160.06</v>
      </c>
      <c r="K219" s="10">
        <f>IF(Source!BA83&lt;&gt; 0, Source!BA83, 1)</f>
        <v>24.82</v>
      </c>
      <c r="L219" s="28">
        <f>Source!S83</f>
        <v>3972.69</v>
      </c>
      <c r="W219">
        <f>J219</f>
        <v>160.06</v>
      </c>
    </row>
    <row r="220" spans="1:27" ht="14.25" x14ac:dyDescent="0.2">
      <c r="A220" s="23"/>
      <c r="B220" s="23"/>
      <c r="C220" s="24"/>
      <c r="D220" s="24" t="s">
        <v>282</v>
      </c>
      <c r="E220" s="25" t="s">
        <v>283</v>
      </c>
      <c r="F220" s="10">
        <f>Source!DN83</f>
        <v>75</v>
      </c>
      <c r="G220" s="27"/>
      <c r="H220" s="26"/>
      <c r="I220" s="10"/>
      <c r="J220" s="28">
        <f>SUM(Q218:Q219)</f>
        <v>120.05</v>
      </c>
      <c r="K220" s="10">
        <f>Source!BZ83</f>
        <v>68</v>
      </c>
      <c r="L220" s="28">
        <f>SUM(R218:R219)</f>
        <v>2701.43</v>
      </c>
    </row>
    <row r="221" spans="1:27" ht="14.25" x14ac:dyDescent="0.2">
      <c r="A221" s="23"/>
      <c r="B221" s="23"/>
      <c r="C221" s="24"/>
      <c r="D221" s="24" t="s">
        <v>284</v>
      </c>
      <c r="E221" s="25" t="s">
        <v>283</v>
      </c>
      <c r="F221" s="10">
        <f>Source!DO83</f>
        <v>70</v>
      </c>
      <c r="G221" s="27"/>
      <c r="H221" s="26"/>
      <c r="I221" s="10"/>
      <c r="J221" s="28">
        <f>SUM(S218:S220)</f>
        <v>112.04</v>
      </c>
      <c r="K221" s="10">
        <f>Source!CA83</f>
        <v>41</v>
      </c>
      <c r="L221" s="28">
        <f>SUM(T218:T220)</f>
        <v>1628.8</v>
      </c>
    </row>
    <row r="222" spans="1:27" ht="28.5" x14ac:dyDescent="0.2">
      <c r="A222" s="23"/>
      <c r="B222" s="23"/>
      <c r="C222" s="24"/>
      <c r="D222" s="24" t="s">
        <v>286</v>
      </c>
      <c r="E222" s="25" t="s">
        <v>287</v>
      </c>
      <c r="F222" s="10">
        <f>Source!AQ83</f>
        <v>0.36</v>
      </c>
      <c r="G222" s="27"/>
      <c r="H222" s="26" t="str">
        <f>Source!DI83</f>
        <v>)*1,3)*0,8</v>
      </c>
      <c r="I222" s="10">
        <f>Source!AV83</f>
        <v>1</v>
      </c>
      <c r="J222" s="28">
        <f>Source!U83</f>
        <v>10.1088</v>
      </c>
      <c r="K222" s="10"/>
      <c r="L222" s="28"/>
    </row>
    <row r="223" spans="1:27" ht="15" x14ac:dyDescent="0.25">
      <c r="A223" s="31"/>
      <c r="B223" s="31"/>
      <c r="C223" s="31"/>
      <c r="D223" s="31"/>
      <c r="E223" s="31"/>
      <c r="F223" s="31"/>
      <c r="G223" s="31"/>
      <c r="H223" s="31"/>
      <c r="I223" s="56">
        <f>J219+J220+J221</f>
        <v>392.15000000000003</v>
      </c>
      <c r="J223" s="56"/>
      <c r="K223" s="56">
        <f>L219+L220+L221</f>
        <v>8302.92</v>
      </c>
      <c r="L223" s="56"/>
      <c r="O223" s="30">
        <f>J219+J220+J221</f>
        <v>392.15000000000003</v>
      </c>
      <c r="P223" s="30">
        <f>L219+L220+L221</f>
        <v>8302.92</v>
      </c>
      <c r="X223">
        <f>IF(Source!BI83&lt;=1,J219+J220+J221-0, 0)</f>
        <v>0</v>
      </c>
      <c r="Y223">
        <f>IF(Source!BI83=2,J219+J220+J221-0, 0)</f>
        <v>0</v>
      </c>
      <c r="Z223">
        <f>IF(Source!BI83=3,J219+J220+J221-0, 0)</f>
        <v>0</v>
      </c>
      <c r="AA223">
        <f>IF(Source!BI83=4,J219+J220+J221,0)</f>
        <v>392.15000000000003</v>
      </c>
    </row>
    <row r="224" spans="1:27" ht="42.75" x14ac:dyDescent="0.2">
      <c r="A224" s="23">
        <v>22</v>
      </c>
      <c r="B224" s="23" t="str">
        <f>Source!E84</f>
        <v>22</v>
      </c>
      <c r="C224" s="24" t="str">
        <f>Source!F84</f>
        <v>5.1-162-2</v>
      </c>
      <c r="D224" s="24" t="s">
        <v>192</v>
      </c>
      <c r="E224" s="25" t="str">
        <f>Source!H84</f>
        <v>измерение</v>
      </c>
      <c r="F224" s="10">
        <f>Source!I84</f>
        <v>24</v>
      </c>
      <c r="G224" s="27"/>
      <c r="H224" s="26"/>
      <c r="I224" s="10"/>
      <c r="J224" s="28"/>
      <c r="K224" s="10"/>
      <c r="L224" s="28"/>
      <c r="Q224">
        <f>ROUND((Source!DN84/100)*ROUND((ROUND((Source!AF84*Source!AV84*Source!I84),2)),2), 2)</f>
        <v>29.58</v>
      </c>
      <c r="R224">
        <f>Source!X84</f>
        <v>547.11</v>
      </c>
      <c r="S224">
        <f>ROUND((Source!DO84/100)*ROUND((ROUND((Source!AF84*Source!AV84*Source!I84),2)),2), 2)</f>
        <v>27.61</v>
      </c>
      <c r="T224">
        <f>Source!Y84</f>
        <v>329.88</v>
      </c>
      <c r="U224">
        <f>ROUND((175/100)*ROUND((ROUND((Source!AE84*Source!AV84*Source!I84),2)),2), 2)</f>
        <v>0</v>
      </c>
      <c r="V224">
        <f>ROUND((157/100)*ROUND(ROUND((ROUND((Source!AE84*Source!AV84*Source!I84),2)*Source!BS84),2), 2), 2)</f>
        <v>0</v>
      </c>
    </row>
    <row r="225" spans="1:27" ht="28.5" x14ac:dyDescent="0.2">
      <c r="A225" s="23"/>
      <c r="B225" s="23"/>
      <c r="C225" s="24"/>
      <c r="D225" s="24" t="s">
        <v>278</v>
      </c>
      <c r="E225" s="25"/>
      <c r="F225" s="10"/>
      <c r="G225" s="27">
        <f>Source!AO84</f>
        <v>1.58</v>
      </c>
      <c r="H225" s="26" t="str">
        <f>Source!DG84</f>
        <v>)*1,3)*0,8</v>
      </c>
      <c r="I225" s="10">
        <f>Source!AV84</f>
        <v>1</v>
      </c>
      <c r="J225" s="28">
        <f>ROUND((ROUND((Source!AF84*Source!AV84*Source!I84),2)),2)</f>
        <v>39.44</v>
      </c>
      <c r="K225" s="10">
        <f>IF(Source!BA84&lt;&gt; 0, Source!BA84, 1)</f>
        <v>20.399999999999999</v>
      </c>
      <c r="L225" s="28">
        <f>Source!S84</f>
        <v>804.58</v>
      </c>
      <c r="W225">
        <f>J225</f>
        <v>39.44</v>
      </c>
    </row>
    <row r="226" spans="1:27" ht="14.25" x14ac:dyDescent="0.2">
      <c r="A226" s="23"/>
      <c r="B226" s="23"/>
      <c r="C226" s="24"/>
      <c r="D226" s="24" t="s">
        <v>282</v>
      </c>
      <c r="E226" s="25" t="s">
        <v>283</v>
      </c>
      <c r="F226" s="10">
        <f>Source!DN84</f>
        <v>75</v>
      </c>
      <c r="G226" s="27"/>
      <c r="H226" s="26"/>
      <c r="I226" s="10"/>
      <c r="J226" s="28">
        <f>SUM(Q224:Q225)</f>
        <v>29.58</v>
      </c>
      <c r="K226" s="10">
        <f>Source!BZ84</f>
        <v>68</v>
      </c>
      <c r="L226" s="28">
        <f>SUM(R224:R225)</f>
        <v>547.11</v>
      </c>
    </row>
    <row r="227" spans="1:27" ht="14.25" x14ac:dyDescent="0.2">
      <c r="A227" s="23"/>
      <c r="B227" s="23"/>
      <c r="C227" s="24"/>
      <c r="D227" s="24" t="s">
        <v>284</v>
      </c>
      <c r="E227" s="25" t="s">
        <v>283</v>
      </c>
      <c r="F227" s="10">
        <f>Source!DO84</f>
        <v>70</v>
      </c>
      <c r="G227" s="27"/>
      <c r="H227" s="26"/>
      <c r="I227" s="10"/>
      <c r="J227" s="28">
        <f>SUM(S224:S226)</f>
        <v>27.61</v>
      </c>
      <c r="K227" s="10">
        <f>Source!CA84</f>
        <v>41</v>
      </c>
      <c r="L227" s="28">
        <f>SUM(T224:T226)</f>
        <v>329.88</v>
      </c>
    </row>
    <row r="228" spans="1:27" ht="28.5" x14ac:dyDescent="0.2">
      <c r="A228" s="23"/>
      <c r="B228" s="23"/>
      <c r="C228" s="24"/>
      <c r="D228" s="24" t="s">
        <v>286</v>
      </c>
      <c r="E228" s="25" t="s">
        <v>287</v>
      </c>
      <c r="F228" s="10">
        <f>Source!AQ84</f>
        <v>0.1</v>
      </c>
      <c r="G228" s="27"/>
      <c r="H228" s="26" t="str">
        <f>Source!DI84</f>
        <v>)*1,3)*0,8</v>
      </c>
      <c r="I228" s="10">
        <f>Source!AV84</f>
        <v>1</v>
      </c>
      <c r="J228" s="28">
        <f>Source!U84</f>
        <v>2.4960000000000004</v>
      </c>
      <c r="K228" s="10"/>
      <c r="L228" s="28"/>
    </row>
    <row r="229" spans="1:27" ht="15" x14ac:dyDescent="0.25">
      <c r="A229" s="31"/>
      <c r="B229" s="31"/>
      <c r="C229" s="31"/>
      <c r="D229" s="31"/>
      <c r="E229" s="31"/>
      <c r="F229" s="31"/>
      <c r="G229" s="31"/>
      <c r="H229" s="31"/>
      <c r="I229" s="56">
        <f>J225+J226+J227</f>
        <v>96.63</v>
      </c>
      <c r="J229" s="56"/>
      <c r="K229" s="56">
        <f>L225+L226+L227</f>
        <v>1681.5700000000002</v>
      </c>
      <c r="L229" s="56"/>
      <c r="O229" s="30">
        <f>J225+J226+J227</f>
        <v>96.63</v>
      </c>
      <c r="P229" s="30">
        <f>L225+L226+L227</f>
        <v>1681.5700000000002</v>
      </c>
      <c r="X229">
        <f>IF(Source!BI84&lt;=1,J225+J226+J227-0, 0)</f>
        <v>0</v>
      </c>
      <c r="Y229">
        <f>IF(Source!BI84=2,J225+J226+J227-0, 0)</f>
        <v>0</v>
      </c>
      <c r="Z229">
        <f>IF(Source!BI84=3,J225+J226+J227-0, 0)</f>
        <v>0</v>
      </c>
      <c r="AA229">
        <f>IF(Source!BI84=4,J225+J226+J227,0)</f>
        <v>96.63</v>
      </c>
    </row>
    <row r="230" spans="1:27" ht="57" x14ac:dyDescent="0.2">
      <c r="A230" s="23">
        <v>23</v>
      </c>
      <c r="B230" s="23" t="str">
        <f>Source!E85</f>
        <v>23</v>
      </c>
      <c r="C230" s="24" t="str">
        <f>Source!F85</f>
        <v>5.1-156-5</v>
      </c>
      <c r="D230" s="24" t="s">
        <v>196</v>
      </c>
      <c r="E230" s="25" t="str">
        <f>Source!H85</f>
        <v>измерение</v>
      </c>
      <c r="F230" s="10">
        <f>Source!I85</f>
        <v>24</v>
      </c>
      <c r="G230" s="27"/>
      <c r="H230" s="26"/>
      <c r="I230" s="10"/>
      <c r="J230" s="28"/>
      <c r="K230" s="10"/>
      <c r="L230" s="28"/>
      <c r="Q230">
        <f>ROUND((Source!DN85/100)*ROUND((ROUND((Source!AF85*Source!AV85*Source!I85),2)),2), 2)</f>
        <v>133.29</v>
      </c>
      <c r="R230">
        <f>Source!X85</f>
        <v>2465.33</v>
      </c>
      <c r="S230">
        <f>ROUND((Source!DO85/100)*ROUND((ROUND((Source!AF85*Source!AV85*Source!I85),2)),2), 2)</f>
        <v>124.4</v>
      </c>
      <c r="T230">
        <f>Source!Y85</f>
        <v>1486.45</v>
      </c>
      <c r="U230">
        <f>ROUND((175/100)*ROUND((ROUND((Source!AE85*Source!AV85*Source!I85),2)),2), 2)</f>
        <v>0</v>
      </c>
      <c r="V230">
        <f>ROUND((157/100)*ROUND(ROUND((ROUND((Source!AE85*Source!AV85*Source!I85),2)*Source!BS85),2), 2), 2)</f>
        <v>0</v>
      </c>
    </row>
    <row r="231" spans="1:27" ht="28.5" x14ac:dyDescent="0.2">
      <c r="A231" s="23"/>
      <c r="B231" s="23"/>
      <c r="C231" s="24"/>
      <c r="D231" s="24" t="s">
        <v>278</v>
      </c>
      <c r="E231" s="25"/>
      <c r="F231" s="10"/>
      <c r="G231" s="27">
        <f>Source!AO85</f>
        <v>7.12</v>
      </c>
      <c r="H231" s="26" t="str">
        <f>Source!DG85</f>
        <v>)*1,3)*0,8</v>
      </c>
      <c r="I231" s="10">
        <f>Source!AV85</f>
        <v>1</v>
      </c>
      <c r="J231" s="28">
        <f>ROUND((ROUND((Source!AF85*Source!AV85*Source!I85),2)),2)</f>
        <v>177.72</v>
      </c>
      <c r="K231" s="10">
        <f>IF(Source!BA85&lt;&gt; 0, Source!BA85, 1)</f>
        <v>20.399999999999999</v>
      </c>
      <c r="L231" s="28">
        <f>Source!S85</f>
        <v>3625.49</v>
      </c>
      <c r="W231">
        <f>J231</f>
        <v>177.72</v>
      </c>
    </row>
    <row r="232" spans="1:27" ht="14.25" x14ac:dyDescent="0.2">
      <c r="A232" s="23"/>
      <c r="B232" s="23"/>
      <c r="C232" s="24"/>
      <c r="D232" s="24" t="s">
        <v>282</v>
      </c>
      <c r="E232" s="25" t="s">
        <v>283</v>
      </c>
      <c r="F232" s="10">
        <f>Source!DN85</f>
        <v>75</v>
      </c>
      <c r="G232" s="27"/>
      <c r="H232" s="26"/>
      <c r="I232" s="10"/>
      <c r="J232" s="28">
        <f>SUM(Q230:Q231)</f>
        <v>133.29</v>
      </c>
      <c r="K232" s="10">
        <f>Source!BZ85</f>
        <v>68</v>
      </c>
      <c r="L232" s="28">
        <f>SUM(R230:R231)</f>
        <v>2465.33</v>
      </c>
    </row>
    <row r="233" spans="1:27" ht="14.25" x14ac:dyDescent="0.2">
      <c r="A233" s="23"/>
      <c r="B233" s="23"/>
      <c r="C233" s="24"/>
      <c r="D233" s="24" t="s">
        <v>284</v>
      </c>
      <c r="E233" s="25" t="s">
        <v>283</v>
      </c>
      <c r="F233" s="10">
        <f>Source!DO85</f>
        <v>70</v>
      </c>
      <c r="G233" s="27"/>
      <c r="H233" s="26"/>
      <c r="I233" s="10"/>
      <c r="J233" s="28">
        <f>SUM(S230:S232)</f>
        <v>124.4</v>
      </c>
      <c r="K233" s="10">
        <f>Source!CA85</f>
        <v>41</v>
      </c>
      <c r="L233" s="28">
        <f>SUM(T230:T232)</f>
        <v>1486.45</v>
      </c>
    </row>
    <row r="234" spans="1:27" ht="28.5" x14ac:dyDescent="0.2">
      <c r="A234" s="23"/>
      <c r="B234" s="23"/>
      <c r="C234" s="24"/>
      <c r="D234" s="24" t="s">
        <v>286</v>
      </c>
      <c r="E234" s="25" t="s">
        <v>287</v>
      </c>
      <c r="F234" s="10">
        <f>Source!AQ85</f>
        <v>0.45</v>
      </c>
      <c r="G234" s="27"/>
      <c r="H234" s="26" t="str">
        <f>Source!DI85</f>
        <v>)*1,3)*0,8</v>
      </c>
      <c r="I234" s="10">
        <f>Source!AV85</f>
        <v>1</v>
      </c>
      <c r="J234" s="28">
        <f>Source!U85</f>
        <v>11.232000000000003</v>
      </c>
      <c r="K234" s="10"/>
      <c r="L234" s="28"/>
    </row>
    <row r="235" spans="1:27" ht="15" x14ac:dyDescent="0.25">
      <c r="A235" s="31"/>
      <c r="B235" s="31"/>
      <c r="C235" s="31"/>
      <c r="D235" s="31"/>
      <c r="E235" s="31"/>
      <c r="F235" s="31"/>
      <c r="G235" s="31"/>
      <c r="H235" s="31"/>
      <c r="I235" s="56">
        <f>J231+J232+J233</f>
        <v>435.40999999999997</v>
      </c>
      <c r="J235" s="56"/>
      <c r="K235" s="56">
        <f>L231+L232+L233</f>
        <v>7577.2699999999995</v>
      </c>
      <c r="L235" s="56"/>
      <c r="O235" s="30">
        <f>J231+J232+J233</f>
        <v>435.40999999999997</v>
      </c>
      <c r="P235" s="30">
        <f>L231+L232+L233</f>
        <v>7577.2699999999995</v>
      </c>
      <c r="X235">
        <f>IF(Source!BI85&lt;=1,J231+J232+J233-0, 0)</f>
        <v>0</v>
      </c>
      <c r="Y235">
        <f>IF(Source!BI85=2,J231+J232+J233-0, 0)</f>
        <v>0</v>
      </c>
      <c r="Z235">
        <f>IF(Source!BI85=3,J231+J232+J233-0, 0)</f>
        <v>0</v>
      </c>
      <c r="AA235">
        <f>IF(Source!BI85=4,J231+J232+J233,0)</f>
        <v>435.40999999999997</v>
      </c>
    </row>
    <row r="237" spans="1:27" ht="15" x14ac:dyDescent="0.25">
      <c r="A237" s="55" t="str">
        <f>CONCATENATE("Итого по разделу: ",IF(Source!G87&lt;&gt;"Новый раздел", Source!G87, ""))</f>
        <v>Итого по разделу: Пусконаладочные работы.</v>
      </c>
      <c r="B237" s="55"/>
      <c r="C237" s="55"/>
      <c r="D237" s="55"/>
      <c r="E237" s="55"/>
      <c r="F237" s="55"/>
      <c r="G237" s="55"/>
      <c r="H237" s="55"/>
      <c r="I237" s="53">
        <f>SUM(O169:O236)</f>
        <v>5789.7199999999984</v>
      </c>
      <c r="J237" s="54"/>
      <c r="K237" s="53">
        <f>SUM(P169:P236)</f>
        <v>112204.67000000001</v>
      </c>
      <c r="L237" s="54"/>
    </row>
    <row r="238" spans="1:27" hidden="1" x14ac:dyDescent="0.2">
      <c r="A238" t="s">
        <v>288</v>
      </c>
      <c r="I238">
        <f>SUM(AC169:AC237)</f>
        <v>0</v>
      </c>
      <c r="K238">
        <f>SUM(AD169:AD237)</f>
        <v>0</v>
      </c>
    </row>
    <row r="239" spans="1:27" hidden="1" x14ac:dyDescent="0.2">
      <c r="A239" t="s">
        <v>289</v>
      </c>
      <c r="I239">
        <f>SUM(AE169:AE238)</f>
        <v>0</v>
      </c>
      <c r="K239">
        <f>SUM(AF169:AF238)</f>
        <v>0</v>
      </c>
    </row>
    <row r="241" spans="1:27" ht="16.5" x14ac:dyDescent="0.25">
      <c r="A241" s="57" t="str">
        <f>CONCATENATE("Раздел: ",IF(Source!G117&lt;&gt;"Новый раздел", Source!G117, ""))</f>
        <v>Раздел: Материалы, не учтенные ценником и оборудование.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1:27" ht="71.25" x14ac:dyDescent="0.2">
      <c r="A242" s="23">
        <v>24</v>
      </c>
      <c r="B242" s="23" t="str">
        <f>Source!E121</f>
        <v>24</v>
      </c>
      <c r="C242" s="24" t="str">
        <f>Source!F121</f>
        <v>1.23-1-4</v>
      </c>
      <c r="D242" s="24" t="s">
        <v>201</v>
      </c>
      <c r="E242" s="25" t="str">
        <f>Source!H121</f>
        <v>км</v>
      </c>
      <c r="F242" s="10">
        <f>Source!I121</f>
        <v>0.11700000000000001</v>
      </c>
      <c r="G242" s="27">
        <f>Source!AL121</f>
        <v>19941.89</v>
      </c>
      <c r="H242" s="26" t="str">
        <f>Source!DD121</f>
        <v/>
      </c>
      <c r="I242" s="10">
        <f>Source!AW121</f>
        <v>1</v>
      </c>
      <c r="J242" s="28">
        <f>ROUND((ROUND((Source!AC121*Source!AW121*Source!I121),2)),2)</f>
        <v>2333.1999999999998</v>
      </c>
      <c r="K242" s="10">
        <f>IF(Source!BC121&lt;&gt; 0, Source!BC121, 1)</f>
        <v>8.0500000000000007</v>
      </c>
      <c r="L242" s="28">
        <f>Source!P121</f>
        <v>18782.259999999998</v>
      </c>
      <c r="Q242">
        <f>ROUND((Source!DN121/100)*ROUND((ROUND((Source!AF121*Source!AV121*Source!I121),2)),2), 2)</f>
        <v>0</v>
      </c>
      <c r="R242">
        <f>Source!X121</f>
        <v>0</v>
      </c>
      <c r="S242">
        <f>ROUND((Source!DO121/100)*ROUND((ROUND((Source!AF121*Source!AV121*Source!I121),2)),2), 2)</f>
        <v>0</v>
      </c>
      <c r="T242">
        <f>Source!Y121</f>
        <v>0</v>
      </c>
      <c r="U242">
        <f>ROUND((175/100)*ROUND((ROUND((Source!AE121*Source!AV121*Source!I121),2)),2), 2)</f>
        <v>0</v>
      </c>
      <c r="V242">
        <f>ROUND((157/100)*ROUND(ROUND((ROUND((Source!AE121*Source!AV121*Source!I121),2)*Source!BS121),2), 2), 2)</f>
        <v>0</v>
      </c>
    </row>
    <row r="243" spans="1:27" x14ac:dyDescent="0.2">
      <c r="D243" s="32" t="str">
        <f>"Объем: "&amp;Source!I121&amp;"="&amp;Source!I32&amp;"/"&amp;"10"</f>
        <v>Объем: 0,117=1,17/10</v>
      </c>
    </row>
    <row r="244" spans="1:27" ht="15" x14ac:dyDescent="0.25">
      <c r="A244" s="31"/>
      <c r="B244" s="31"/>
      <c r="C244" s="31"/>
      <c r="D244" s="31"/>
      <c r="E244" s="31"/>
      <c r="F244" s="31"/>
      <c r="G244" s="31"/>
      <c r="H244" s="31"/>
      <c r="I244" s="56">
        <f>J242</f>
        <v>2333.1999999999998</v>
      </c>
      <c r="J244" s="56"/>
      <c r="K244" s="56">
        <f>L242</f>
        <v>18782.259999999998</v>
      </c>
      <c r="L244" s="56"/>
      <c r="O244" s="30">
        <f>J242</f>
        <v>2333.1999999999998</v>
      </c>
      <c r="P244" s="30">
        <f>L242</f>
        <v>18782.259999999998</v>
      </c>
      <c r="X244">
        <f>IF(Source!BI121&lt;=1,J242-0, 0)</f>
        <v>0</v>
      </c>
      <c r="Y244">
        <f>IF(Source!BI121=2,J242-0, 0)</f>
        <v>2333.1999999999998</v>
      </c>
      <c r="Z244">
        <f>IF(Source!BI121=3,J242-0, 0)</f>
        <v>0</v>
      </c>
      <c r="AA244">
        <f>IF(Source!BI121=4,J242,0)</f>
        <v>0</v>
      </c>
    </row>
    <row r="245" spans="1:27" ht="114" x14ac:dyDescent="0.2">
      <c r="A245" s="23">
        <v>25</v>
      </c>
      <c r="B245" s="23" t="str">
        <f>Source!E122</f>
        <v>25</v>
      </c>
      <c r="C245" s="24" t="str">
        <f>Source!F122</f>
        <v>1.23-7-217</v>
      </c>
      <c r="D245" s="24" t="s">
        <v>209</v>
      </c>
      <c r="E245" s="25" t="str">
        <f>Source!H122</f>
        <v>км</v>
      </c>
      <c r="F245" s="10">
        <f>Source!I122</f>
        <v>1.7999999999999999E-2</v>
      </c>
      <c r="G245" s="27">
        <f>Source!AL122</f>
        <v>99361.96</v>
      </c>
      <c r="H245" s="26" t="str">
        <f>Source!DD122</f>
        <v/>
      </c>
      <c r="I245" s="10">
        <f>Source!AW122</f>
        <v>1</v>
      </c>
      <c r="J245" s="28">
        <f>ROUND((ROUND((Source!AC122*Source!AW122*Source!I122),2)),2)</f>
        <v>1788.52</v>
      </c>
      <c r="K245" s="10">
        <f>IF(Source!BC122&lt;&gt; 0, Source!BC122, 1)</f>
        <v>3.43</v>
      </c>
      <c r="L245" s="28">
        <f>Source!P122</f>
        <v>6134.62</v>
      </c>
      <c r="Q245">
        <f>ROUND((Source!DN122/100)*ROUND((ROUND((Source!AF122*Source!AV122*Source!I122),2)),2), 2)</f>
        <v>0</v>
      </c>
      <c r="R245">
        <f>Source!X122</f>
        <v>0</v>
      </c>
      <c r="S245">
        <f>ROUND((Source!DO122/100)*ROUND((ROUND((Source!AF122*Source!AV122*Source!I122),2)),2), 2)</f>
        <v>0</v>
      </c>
      <c r="T245">
        <f>Source!Y122</f>
        <v>0</v>
      </c>
      <c r="U245">
        <f>ROUND((175/100)*ROUND((ROUND((Source!AE122*Source!AV122*Source!I122),2)),2), 2)</f>
        <v>0</v>
      </c>
      <c r="V245">
        <f>ROUND((157/100)*ROUND(ROUND((ROUND((Source!AE122*Source!AV122*Source!I122),2)*Source!BS122),2), 2), 2)</f>
        <v>0</v>
      </c>
    </row>
    <row r="246" spans="1:27" x14ac:dyDescent="0.2">
      <c r="D246" s="32" t="str">
        <f>"Объем: "&amp;Source!I122&amp;"="&amp;Source!I33&amp;"/"&amp;"10"</f>
        <v>Объем: 0,018=0,18/10</v>
      </c>
    </row>
    <row r="247" spans="1:27" ht="15" x14ac:dyDescent="0.25">
      <c r="A247" s="31"/>
      <c r="B247" s="31"/>
      <c r="C247" s="31"/>
      <c r="D247" s="31"/>
      <c r="E247" s="31"/>
      <c r="F247" s="31"/>
      <c r="G247" s="31"/>
      <c r="H247" s="31"/>
      <c r="I247" s="56">
        <f>J245</f>
        <v>1788.52</v>
      </c>
      <c r="J247" s="56"/>
      <c r="K247" s="56">
        <f>L245</f>
        <v>6134.62</v>
      </c>
      <c r="L247" s="56"/>
      <c r="O247" s="30">
        <f>J245</f>
        <v>1788.52</v>
      </c>
      <c r="P247" s="30">
        <f>L245</f>
        <v>6134.62</v>
      </c>
      <c r="X247">
        <f>IF(Source!BI122&lt;=1,J245-0, 0)</f>
        <v>0</v>
      </c>
      <c r="Y247">
        <f>IF(Source!BI122=2,J245-0, 0)</f>
        <v>1788.52</v>
      </c>
      <c r="Z247">
        <f>IF(Source!BI122=3,J245-0, 0)</f>
        <v>0</v>
      </c>
      <c r="AA247">
        <f>IF(Source!BI122=4,J245,0)</f>
        <v>0</v>
      </c>
    </row>
    <row r="248" spans="1:27" ht="114" x14ac:dyDescent="0.2">
      <c r="A248" s="23">
        <v>26</v>
      </c>
      <c r="B248" s="23" t="str">
        <f>Source!E123</f>
        <v>26</v>
      </c>
      <c r="C248" s="24" t="str">
        <f>Source!F123</f>
        <v>1.23-7-219</v>
      </c>
      <c r="D248" s="24" t="s">
        <v>213</v>
      </c>
      <c r="E248" s="25" t="str">
        <f>Source!H123</f>
        <v>км</v>
      </c>
      <c r="F248" s="10">
        <f>Source!I123</f>
        <v>3.5999999999999997E-2</v>
      </c>
      <c r="G248" s="27">
        <f>Source!AL123</f>
        <v>140415.53</v>
      </c>
      <c r="H248" s="26" t="str">
        <f>Source!DD123</f>
        <v/>
      </c>
      <c r="I248" s="10">
        <f>Source!AW123</f>
        <v>1</v>
      </c>
      <c r="J248" s="28">
        <f>ROUND((ROUND((Source!AC123*Source!AW123*Source!I123),2)),2)</f>
        <v>5054.96</v>
      </c>
      <c r="K248" s="10">
        <f>IF(Source!BC123&lt;&gt; 0, Source!BC123, 1)</f>
        <v>4.1399999999999997</v>
      </c>
      <c r="L248" s="28">
        <f>Source!P123</f>
        <v>20927.53</v>
      </c>
      <c r="Q248">
        <f>ROUND((Source!DN123/100)*ROUND((ROUND((Source!AF123*Source!AV123*Source!I123),2)),2), 2)</f>
        <v>0</v>
      </c>
      <c r="R248">
        <f>Source!X123</f>
        <v>0</v>
      </c>
      <c r="S248">
        <f>ROUND((Source!DO123/100)*ROUND((ROUND((Source!AF123*Source!AV123*Source!I123),2)),2), 2)</f>
        <v>0</v>
      </c>
      <c r="T248">
        <f>Source!Y123</f>
        <v>0</v>
      </c>
      <c r="U248">
        <f>ROUND((175/100)*ROUND((ROUND((Source!AE123*Source!AV123*Source!I123),2)),2), 2)</f>
        <v>0</v>
      </c>
      <c r="V248">
        <f>ROUND((157/100)*ROUND(ROUND((ROUND((Source!AE123*Source!AV123*Source!I123),2)*Source!BS123),2), 2), 2)</f>
        <v>0</v>
      </c>
    </row>
    <row r="249" spans="1:27" x14ac:dyDescent="0.2">
      <c r="D249" s="32" t="str">
        <f>"Объем: "&amp;Source!I123&amp;"="&amp;Source!I35&amp;"/"&amp;"10"</f>
        <v>Объем: 0,036=0,36/10</v>
      </c>
    </row>
    <row r="250" spans="1:27" ht="15" x14ac:dyDescent="0.25">
      <c r="A250" s="31"/>
      <c r="B250" s="31"/>
      <c r="C250" s="31"/>
      <c r="D250" s="31"/>
      <c r="E250" s="31"/>
      <c r="F250" s="31"/>
      <c r="G250" s="31"/>
      <c r="H250" s="31"/>
      <c r="I250" s="56">
        <f>J248</f>
        <v>5054.96</v>
      </c>
      <c r="J250" s="56"/>
      <c r="K250" s="56">
        <f>L248</f>
        <v>20927.53</v>
      </c>
      <c r="L250" s="56"/>
      <c r="O250" s="30">
        <f>J248</f>
        <v>5054.96</v>
      </c>
      <c r="P250" s="30">
        <f>L248</f>
        <v>20927.53</v>
      </c>
      <c r="X250">
        <f>IF(Source!BI123&lt;=1,J248-0, 0)</f>
        <v>0</v>
      </c>
      <c r="Y250">
        <f>IF(Source!BI123=2,J248-0, 0)</f>
        <v>5054.96</v>
      </c>
      <c r="Z250">
        <f>IF(Source!BI123=3,J248-0, 0)</f>
        <v>0</v>
      </c>
      <c r="AA250">
        <f>IF(Source!BI123=4,J248,0)</f>
        <v>0</v>
      </c>
    </row>
    <row r="251" spans="1:27" ht="99.75" x14ac:dyDescent="0.2">
      <c r="A251" s="23">
        <v>27</v>
      </c>
      <c r="B251" s="23" t="str">
        <f>Source!E124</f>
        <v>27</v>
      </c>
      <c r="C251" s="24" t="str">
        <f>Source!F124</f>
        <v>1.21-5-281</v>
      </c>
      <c r="D251" s="24" t="s">
        <v>217</v>
      </c>
      <c r="E251" s="25" t="str">
        <f>Source!H124</f>
        <v>компл.</v>
      </c>
      <c r="F251" s="10">
        <f>Source!I124</f>
        <v>8</v>
      </c>
      <c r="G251" s="27">
        <f>Source!AL124</f>
        <v>306.16000000000003</v>
      </c>
      <c r="H251" s="26" t="str">
        <f>Source!DD124</f>
        <v/>
      </c>
      <c r="I251" s="10">
        <f>Source!AW124</f>
        <v>1</v>
      </c>
      <c r="J251" s="28">
        <f>ROUND((ROUND((Source!AC124*Source!AW124*Source!I124),2)),2)</f>
        <v>2449.2800000000002</v>
      </c>
      <c r="K251" s="10">
        <f>IF(Source!BC124&lt;&gt; 0, Source!BC124, 1)</f>
        <v>2.74</v>
      </c>
      <c r="L251" s="28">
        <f>Source!P124</f>
        <v>6711.03</v>
      </c>
      <c r="Q251">
        <f>ROUND((Source!DN124/100)*ROUND((ROUND((Source!AF124*Source!AV124*Source!I124),2)),2), 2)</f>
        <v>0</v>
      </c>
      <c r="R251">
        <f>Source!X124</f>
        <v>0</v>
      </c>
      <c r="S251">
        <f>ROUND((Source!DO124/100)*ROUND((ROUND((Source!AF124*Source!AV124*Source!I124),2)),2), 2)</f>
        <v>0</v>
      </c>
      <c r="T251">
        <f>Source!Y124</f>
        <v>0</v>
      </c>
      <c r="U251">
        <f>ROUND((175/100)*ROUND((ROUND((Source!AE124*Source!AV124*Source!I124),2)),2), 2)</f>
        <v>0</v>
      </c>
      <c r="V251">
        <f>ROUND((157/100)*ROUND(ROUND((ROUND((Source!AE124*Source!AV124*Source!I124),2)*Source!BS124),2), 2), 2)</f>
        <v>0</v>
      </c>
    </row>
    <row r="252" spans="1:27" ht="15" x14ac:dyDescent="0.25">
      <c r="A252" s="31"/>
      <c r="B252" s="31"/>
      <c r="C252" s="31"/>
      <c r="D252" s="31"/>
      <c r="E252" s="31"/>
      <c r="F252" s="31"/>
      <c r="G252" s="31"/>
      <c r="H252" s="31"/>
      <c r="I252" s="56">
        <f>J251</f>
        <v>2449.2800000000002</v>
      </c>
      <c r="J252" s="56"/>
      <c r="K252" s="56">
        <f>L251</f>
        <v>6711.03</v>
      </c>
      <c r="L252" s="56"/>
      <c r="O252" s="30">
        <f>J251</f>
        <v>2449.2800000000002</v>
      </c>
      <c r="P252" s="30">
        <f>L251</f>
        <v>6711.03</v>
      </c>
      <c r="X252">
        <f>IF(Source!BI124&lt;=1,J251-0, 0)</f>
        <v>0</v>
      </c>
      <c r="Y252">
        <f>IF(Source!BI124=2,J251-0, 0)</f>
        <v>2449.2800000000002</v>
      </c>
      <c r="Z252">
        <f>IF(Source!BI124=3,J251-0, 0)</f>
        <v>0</v>
      </c>
      <c r="AA252">
        <f>IF(Source!BI124=4,J251,0)</f>
        <v>0</v>
      </c>
    </row>
    <row r="253" spans="1:27" ht="85.5" x14ac:dyDescent="0.2">
      <c r="A253" s="23">
        <v>28</v>
      </c>
      <c r="B253" s="23" t="str">
        <f>Source!E125</f>
        <v>28</v>
      </c>
      <c r="C253" s="24" t="str">
        <f>Source!F125</f>
        <v>1.21-5-251</v>
      </c>
      <c r="D253" s="24" t="s">
        <v>222</v>
      </c>
      <c r="E253" s="25" t="str">
        <f>Source!H125</f>
        <v>компл.</v>
      </c>
      <c r="F253" s="10">
        <f>Source!I125</f>
        <v>3</v>
      </c>
      <c r="G253" s="27">
        <f>Source!AL125</f>
        <v>813.96</v>
      </c>
      <c r="H253" s="26" t="str">
        <f>Source!DD125</f>
        <v/>
      </c>
      <c r="I253" s="10">
        <f>Source!AW125</f>
        <v>1</v>
      </c>
      <c r="J253" s="28">
        <f>ROUND((ROUND((Source!AC125*Source!AW125*Source!I125),2)),2)</f>
        <v>2441.88</v>
      </c>
      <c r="K253" s="10">
        <f>IF(Source!BC125&lt;&gt; 0, Source!BC125, 1)</f>
        <v>2.89</v>
      </c>
      <c r="L253" s="28">
        <f>Source!P125</f>
        <v>7057.03</v>
      </c>
      <c r="Q253">
        <f>ROUND((Source!DN125/100)*ROUND((ROUND((Source!AF125*Source!AV125*Source!I125),2)),2), 2)</f>
        <v>0</v>
      </c>
      <c r="R253">
        <f>Source!X125</f>
        <v>0</v>
      </c>
      <c r="S253">
        <f>ROUND((Source!DO125/100)*ROUND((ROUND((Source!AF125*Source!AV125*Source!I125),2)),2), 2)</f>
        <v>0</v>
      </c>
      <c r="T253">
        <f>Source!Y125</f>
        <v>0</v>
      </c>
      <c r="U253">
        <f>ROUND((175/100)*ROUND((ROUND((Source!AE125*Source!AV125*Source!I125),2)),2), 2)</f>
        <v>0</v>
      </c>
      <c r="V253">
        <f>ROUND((157/100)*ROUND(ROUND((ROUND((Source!AE125*Source!AV125*Source!I125),2)*Source!BS125),2), 2), 2)</f>
        <v>0</v>
      </c>
    </row>
    <row r="254" spans="1:27" ht="15" x14ac:dyDescent="0.25">
      <c r="A254" s="31"/>
      <c r="B254" s="31"/>
      <c r="C254" s="31"/>
      <c r="D254" s="31"/>
      <c r="E254" s="31"/>
      <c r="F254" s="31"/>
      <c r="G254" s="31"/>
      <c r="H254" s="31"/>
      <c r="I254" s="56">
        <f>J253</f>
        <v>2441.88</v>
      </c>
      <c r="J254" s="56"/>
      <c r="K254" s="56">
        <f>L253</f>
        <v>7057.03</v>
      </c>
      <c r="L254" s="56"/>
      <c r="O254" s="30">
        <f>J253</f>
        <v>2441.88</v>
      </c>
      <c r="P254" s="30">
        <f>L253</f>
        <v>7057.03</v>
      </c>
      <c r="X254">
        <f>IF(Source!BI125&lt;=1,J253-0, 0)</f>
        <v>0</v>
      </c>
      <c r="Y254">
        <f>IF(Source!BI125=2,J253-0, 0)</f>
        <v>2441.88</v>
      </c>
      <c r="Z254">
        <f>IF(Source!BI125=3,J253-0, 0)</f>
        <v>0</v>
      </c>
      <c r="AA254">
        <f>IF(Source!BI125=4,J253,0)</f>
        <v>0</v>
      </c>
    </row>
    <row r="255" spans="1:27" ht="28.5" x14ac:dyDescent="0.2">
      <c r="A255" s="23">
        <v>29</v>
      </c>
      <c r="B255" s="23" t="str">
        <f>Source!E126</f>
        <v>29</v>
      </c>
      <c r="C255" s="24" t="str">
        <f>Source!F126</f>
        <v>1.23-16-1</v>
      </c>
      <c r="D255" s="24" t="s">
        <v>226</v>
      </c>
      <c r="E255" s="25" t="str">
        <f>Source!H126</f>
        <v>т</v>
      </c>
      <c r="F255" s="10">
        <f>Source!I126</f>
        <v>3.3000000000000002E-2</v>
      </c>
      <c r="G255" s="27">
        <f>Source!AL126</f>
        <v>31290.95</v>
      </c>
      <c r="H255" s="26" t="str">
        <f>Source!DD126</f>
        <v/>
      </c>
      <c r="I255" s="10">
        <f>Source!AW126</f>
        <v>1</v>
      </c>
      <c r="J255" s="28">
        <f>ROUND((ROUND((Source!AC126*Source!AW126*Source!I126),2)),2)</f>
        <v>1032.5999999999999</v>
      </c>
      <c r="K255" s="10">
        <f>IF(Source!BC126&lt;&gt; 0, Source!BC126, 1)</f>
        <v>6.31</v>
      </c>
      <c r="L255" s="28">
        <f>Source!P126</f>
        <v>6515.71</v>
      </c>
      <c r="Q255">
        <f>ROUND((Source!DN126/100)*ROUND((ROUND((Source!AF126*Source!AV126*Source!I126),2)),2), 2)</f>
        <v>0</v>
      </c>
      <c r="R255">
        <f>Source!X126</f>
        <v>0</v>
      </c>
      <c r="S255">
        <f>ROUND((Source!DO126/100)*ROUND((ROUND((Source!AF126*Source!AV126*Source!I126),2)),2), 2)</f>
        <v>0</v>
      </c>
      <c r="T255">
        <f>Source!Y126</f>
        <v>0</v>
      </c>
      <c r="U255">
        <f>ROUND((175/100)*ROUND((ROUND((Source!AE126*Source!AV126*Source!I126),2)),2), 2)</f>
        <v>0</v>
      </c>
      <c r="V255">
        <f>ROUND((157/100)*ROUND(ROUND((ROUND((Source!AE126*Source!AV126*Source!I126),2)*Source!BS126),2), 2), 2)</f>
        <v>0</v>
      </c>
    </row>
    <row r="256" spans="1:27" ht="15" x14ac:dyDescent="0.25">
      <c r="A256" s="31"/>
      <c r="B256" s="31"/>
      <c r="C256" s="31"/>
      <c r="D256" s="31"/>
      <c r="E256" s="31"/>
      <c r="F256" s="31"/>
      <c r="G256" s="31"/>
      <c r="H256" s="31"/>
      <c r="I256" s="56">
        <f>J255</f>
        <v>1032.5999999999999</v>
      </c>
      <c r="J256" s="56"/>
      <c r="K256" s="56">
        <f>L255</f>
        <v>6515.71</v>
      </c>
      <c r="L256" s="56"/>
      <c r="O256" s="30">
        <f>J255</f>
        <v>1032.5999999999999</v>
      </c>
      <c r="P256" s="30">
        <f>L255</f>
        <v>6515.71</v>
      </c>
      <c r="X256">
        <f>IF(Source!BI126&lt;=1,J255-0, 0)</f>
        <v>0</v>
      </c>
      <c r="Y256">
        <f>IF(Source!BI126=2,J255-0, 0)</f>
        <v>1032.5999999999999</v>
      </c>
      <c r="Z256">
        <f>IF(Source!BI126=3,J255-0, 0)</f>
        <v>0</v>
      </c>
      <c r="AA256">
        <f>IF(Source!BI126=4,J255,0)</f>
        <v>0</v>
      </c>
    </row>
    <row r="257" spans="1:38" ht="114" x14ac:dyDescent="0.2">
      <c r="A257" s="23">
        <v>30</v>
      </c>
      <c r="B257" s="23" t="str">
        <f>Source!E127</f>
        <v>30</v>
      </c>
      <c r="C257" s="24" t="str">
        <f>Source!F127</f>
        <v>Накладная №12 от 18.07.2019.   Накладная №10 от 10.08.2018.</v>
      </c>
      <c r="D257" s="24" t="s">
        <v>230</v>
      </c>
      <c r="E257" s="25" t="str">
        <f>Source!H127</f>
        <v>КОМПЛЕКТ</v>
      </c>
      <c r="F257" s="10">
        <f>Source!I127</f>
        <v>1</v>
      </c>
      <c r="G257" s="27">
        <f>Source!AL127</f>
        <v>1563409.86</v>
      </c>
      <c r="H257" s="26" t="str">
        <f>Source!DD127</f>
        <v/>
      </c>
      <c r="I257" s="10">
        <f>Source!AW127</f>
        <v>1</v>
      </c>
      <c r="J257" s="28">
        <f>ROUND((ROUND((Source!AC127*Source!AW127*Source!I127),2)),2)</f>
        <v>1563409.86</v>
      </c>
      <c r="K257" s="10">
        <f>IF(Source!BC127&lt;&gt; 0, Source!BC127, 1)</f>
        <v>1</v>
      </c>
      <c r="L257" s="28">
        <f>Source!P127</f>
        <v>1563409.86</v>
      </c>
      <c r="Q257">
        <f>ROUND((Source!DN127/100)*ROUND((ROUND((Source!AF127*Source!AV127*Source!I127),2)),2), 2)</f>
        <v>0</v>
      </c>
      <c r="R257">
        <f>Source!X127</f>
        <v>0</v>
      </c>
      <c r="S257">
        <f>ROUND((Source!DO127/100)*ROUND((ROUND((Source!AF127*Source!AV127*Source!I127),2)),2), 2)</f>
        <v>0</v>
      </c>
      <c r="T257">
        <f>Source!Y127</f>
        <v>0</v>
      </c>
      <c r="U257">
        <f>ROUND((175/100)*ROUND((ROUND((Source!AE127*Source!AV127*Source!I127),2)),2), 2)</f>
        <v>0</v>
      </c>
      <c r="V257">
        <f>ROUND((157/100)*ROUND(ROUND((ROUND((Source!AE127*Source!AV127*Source!I127),2)*Source!BS127),2), 2), 2)</f>
        <v>0</v>
      </c>
    </row>
    <row r="258" spans="1:38" ht="15" x14ac:dyDescent="0.25">
      <c r="A258" s="31"/>
      <c r="B258" s="31"/>
      <c r="C258" s="31"/>
      <c r="D258" s="31"/>
      <c r="E258" s="31"/>
      <c r="F258" s="31"/>
      <c r="G258" s="31"/>
      <c r="H258" s="31"/>
      <c r="I258" s="56">
        <f>J257</f>
        <v>1563409.86</v>
      </c>
      <c r="J258" s="56"/>
      <c r="K258" s="56">
        <f>L257</f>
        <v>1563409.86</v>
      </c>
      <c r="L258" s="56"/>
      <c r="O258" s="30">
        <f>J257</f>
        <v>1563409.86</v>
      </c>
      <c r="P258" s="30">
        <f>L257</f>
        <v>1563409.86</v>
      </c>
      <c r="X258">
        <f>IF(Source!BI127&lt;=1,J257-0, 0)</f>
        <v>0</v>
      </c>
      <c r="Y258">
        <f>IF(Source!BI127=2,J257-0, 0)</f>
        <v>0</v>
      </c>
      <c r="Z258">
        <f>IF(Source!BI127=3,J257-0, 0)</f>
        <v>0</v>
      </c>
      <c r="AA258">
        <f>IF(Source!BI127=4,J257,0)</f>
        <v>1563409.86</v>
      </c>
    </row>
    <row r="260" spans="1:38" ht="15" x14ac:dyDescent="0.25">
      <c r="A260" s="55" t="str">
        <f>CONCATENATE("Итого по разделу: ",IF(Source!G129&lt;&gt;"Новый раздел", Source!G129, ""))</f>
        <v>Итого по разделу: Материалы, не учтенные ценником и оборудование.</v>
      </c>
      <c r="B260" s="55"/>
      <c r="C260" s="55"/>
      <c r="D260" s="55"/>
      <c r="E260" s="55"/>
      <c r="F260" s="55"/>
      <c r="G260" s="55"/>
      <c r="H260" s="55"/>
      <c r="I260" s="53">
        <f>SUM(O241:O259)</f>
        <v>1578510.3</v>
      </c>
      <c r="J260" s="54"/>
      <c r="K260" s="53">
        <f>SUM(P241:P259)</f>
        <v>1629538.04</v>
      </c>
      <c r="L260" s="54"/>
    </row>
    <row r="261" spans="1:38" hidden="1" x14ac:dyDescent="0.2">
      <c r="A261" t="s">
        <v>288</v>
      </c>
      <c r="I261">
        <f>SUM(AC241:AC260)</f>
        <v>0</v>
      </c>
      <c r="K261">
        <f>SUM(AD241:AD260)</f>
        <v>0</v>
      </c>
    </row>
    <row r="262" spans="1:38" hidden="1" x14ac:dyDescent="0.2">
      <c r="A262" t="s">
        <v>289</v>
      </c>
      <c r="I262">
        <f>SUM(AE241:AE261)</f>
        <v>0</v>
      </c>
      <c r="K262">
        <f>SUM(AF241:AF261)</f>
        <v>0</v>
      </c>
    </row>
    <row r="264" spans="1:38" ht="15" x14ac:dyDescent="0.25">
      <c r="A264" s="55" t="str">
        <f>CONCATENATE("Итого по локальной смете: ",IF(Source!G159&lt;&gt;"Новая локальная смета", Source!G159, ""))</f>
        <v>Итого по локальной смете: ТП-522. Реконструкция. Замена 8 панелей в РУ-0,4 кВ.</v>
      </c>
      <c r="B264" s="55"/>
      <c r="C264" s="55"/>
      <c r="D264" s="55"/>
      <c r="E264" s="55"/>
      <c r="F264" s="55"/>
      <c r="G264" s="55"/>
      <c r="H264" s="55"/>
      <c r="I264" s="53">
        <f>SUM(O41:O263)</f>
        <v>1599118.6900000002</v>
      </c>
      <c r="J264" s="54"/>
      <c r="K264" s="53">
        <f>SUM(P41:P263)</f>
        <v>1933636.37</v>
      </c>
      <c r="L264" s="54"/>
      <c r="AL264" s="34" t="str">
        <f>CONCATENATE("Итого по локальной смете: ",IF(Source!G159&lt;&gt;"Новая локальная смета", Source!G159, ""))</f>
        <v>Итого по локальной смете: ТП-522. Реконструкция. Замена 8 панелей в РУ-0,4 кВ.</v>
      </c>
    </row>
    <row r="265" spans="1:38" hidden="1" x14ac:dyDescent="0.2">
      <c r="A265" t="s">
        <v>288</v>
      </c>
      <c r="I265">
        <f>SUM(AC41:AC264)</f>
        <v>0</v>
      </c>
      <c r="K265">
        <f>SUM(AD41:AD264)</f>
        <v>0</v>
      </c>
    </row>
    <row r="266" spans="1:38" hidden="1" x14ac:dyDescent="0.2">
      <c r="A266" t="s">
        <v>289</v>
      </c>
      <c r="I266">
        <f>SUM(AE41:AE265)</f>
        <v>0</v>
      </c>
      <c r="K266">
        <f>SUM(AF41:AF265)</f>
        <v>0</v>
      </c>
    </row>
    <row r="268" spans="1:38" ht="15" x14ac:dyDescent="0.25">
      <c r="A268" s="55" t="str">
        <f>CONCATENATE("Итого по смете: ",IF(Source!G189&lt;&gt;"Новый объект", Source!G189, ""))</f>
        <v>Итого по смете: ТП-522. Реконструкция. Замена 8 панелей в РУ-0,4 кВ.</v>
      </c>
      <c r="B268" s="55"/>
      <c r="C268" s="55"/>
      <c r="D268" s="55"/>
      <c r="E268" s="55"/>
      <c r="F268" s="55"/>
      <c r="G268" s="55"/>
      <c r="H268" s="55"/>
      <c r="I268" s="53">
        <f>SUM(O1:O267)</f>
        <v>1599118.6900000002</v>
      </c>
      <c r="J268" s="54"/>
      <c r="K268" s="53">
        <f>SUM(P1:P267)</f>
        <v>1933636.37</v>
      </c>
      <c r="L268" s="54"/>
      <c r="AL268" s="34" t="str">
        <f>CONCATENATE("Итого по смете: ",IF(Source!G189&lt;&gt;"Новый объект", Source!G189, ""))</f>
        <v>Итого по смете: ТП-522. Реконструкция. Замена 8 панелей в РУ-0,4 кВ.</v>
      </c>
    </row>
    <row r="269" spans="1:38" hidden="1" x14ac:dyDescent="0.2">
      <c r="A269" t="s">
        <v>288</v>
      </c>
      <c r="I269">
        <f>SUM(AC1:AC268)</f>
        <v>0</v>
      </c>
      <c r="K269">
        <f>SUM(AD1:AD268)</f>
        <v>0</v>
      </c>
    </row>
    <row r="270" spans="1:38" hidden="1" x14ac:dyDescent="0.2">
      <c r="A270" t="s">
        <v>289</v>
      </c>
      <c r="I270">
        <f>SUM(AE1:AE269)</f>
        <v>0</v>
      </c>
      <c r="K270">
        <f>SUM(AF1:AF269)</f>
        <v>0</v>
      </c>
    </row>
    <row r="271" spans="1:38" ht="14.25" x14ac:dyDescent="0.2">
      <c r="D271" s="49" t="str">
        <f>Source!H218</f>
        <v>Итого</v>
      </c>
      <c r="E271" s="49"/>
      <c r="F271" s="49"/>
      <c r="G271" s="49"/>
      <c r="H271" s="49"/>
      <c r="I271" s="49"/>
      <c r="J271" s="49"/>
      <c r="K271" s="50">
        <f>IF(Source!F218=0, "", Source!F218)</f>
        <v>1933636.37</v>
      </c>
      <c r="L271" s="50"/>
    </row>
    <row r="272" spans="1:38" ht="14.25" x14ac:dyDescent="0.2">
      <c r="D272" s="49" t="str">
        <f>Source!H219</f>
        <v>НДС 20%</v>
      </c>
      <c r="E272" s="49"/>
      <c r="F272" s="49"/>
      <c r="G272" s="49"/>
      <c r="H272" s="49"/>
      <c r="I272" s="49"/>
      <c r="J272" s="49"/>
      <c r="K272" s="50">
        <f>IF(Source!F219=0, "", Source!F219)</f>
        <v>386727.27</v>
      </c>
      <c r="L272" s="50"/>
    </row>
    <row r="273" spans="1:12" ht="14.25" x14ac:dyDescent="0.2">
      <c r="D273" s="49" t="str">
        <f>Source!H220</f>
        <v>Итого с НДС</v>
      </c>
      <c r="E273" s="49"/>
      <c r="F273" s="49"/>
      <c r="G273" s="49"/>
      <c r="H273" s="49"/>
      <c r="I273" s="49"/>
      <c r="J273" s="49"/>
      <c r="K273" s="50">
        <f>IF(Source!F220=0, "", Source!F220)</f>
        <v>2320363.64</v>
      </c>
      <c r="L273" s="50"/>
    </row>
    <row r="276" spans="1:12" ht="14.25" x14ac:dyDescent="0.2">
      <c r="A276" s="11"/>
      <c r="B276" s="51" t="s">
        <v>326</v>
      </c>
      <c r="C276" s="51"/>
      <c r="D276" s="35" t="str">
        <f>IF(Source!AM12&lt;&gt;"", Source!AM12," ")</f>
        <v xml:space="preserve"> </v>
      </c>
      <c r="E276" s="35"/>
      <c r="F276" s="35"/>
      <c r="G276" s="35"/>
      <c r="H276" s="35"/>
      <c r="I276" s="52" t="str">
        <f>IF(Source!AL12&lt;&gt;"", Source!AL12," ")</f>
        <v xml:space="preserve"> </v>
      </c>
      <c r="J276" s="52"/>
      <c r="K276" s="52"/>
    </row>
    <row r="277" spans="1:12" ht="14.25" x14ac:dyDescent="0.2">
      <c r="A277" s="11"/>
      <c r="B277" s="11"/>
      <c r="C277" s="11"/>
      <c r="D277" s="48" t="s">
        <v>292</v>
      </c>
      <c r="E277" s="48"/>
      <c r="F277" s="48"/>
      <c r="G277" s="48"/>
      <c r="H277" s="48"/>
      <c r="I277" s="11"/>
      <c r="J277" s="11"/>
      <c r="K277" s="11"/>
    </row>
    <row r="278" spans="1:12" ht="14.25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2" ht="14.25" x14ac:dyDescent="0.2">
      <c r="A279" s="11"/>
      <c r="B279" s="51" t="s">
        <v>327</v>
      </c>
      <c r="C279" s="51"/>
      <c r="D279" s="35" t="str">
        <f>IF(Source!AI12&lt;&gt;"", Source!AI12," ")</f>
        <v>Директор</v>
      </c>
      <c r="E279" s="35"/>
      <c r="F279" s="35"/>
      <c r="G279" s="35"/>
      <c r="H279" s="35"/>
      <c r="I279" s="52" t="str">
        <f>IF(Source!AH12&lt;&gt;"", Source!AH12," ")</f>
        <v>А.П. Воробьева</v>
      </c>
      <c r="J279" s="52"/>
      <c r="K279" s="52"/>
    </row>
    <row r="280" spans="1:12" ht="14.25" x14ac:dyDescent="0.2">
      <c r="A280" s="11"/>
      <c r="B280" s="11"/>
      <c r="C280" s="11"/>
      <c r="D280" s="48" t="s">
        <v>292</v>
      </c>
      <c r="E280" s="48"/>
      <c r="F280" s="48"/>
      <c r="G280" s="48"/>
      <c r="H280" s="48"/>
      <c r="I280" s="11"/>
      <c r="J280" s="11"/>
      <c r="K280" s="11"/>
    </row>
  </sheetData>
  <mergeCells count="138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K82:L82"/>
    <mergeCell ref="I82:J82"/>
    <mergeCell ref="K93:L93"/>
    <mergeCell ref="I93:J93"/>
    <mergeCell ref="K104:L104"/>
    <mergeCell ref="I104:J104"/>
    <mergeCell ref="A42:L42"/>
    <mergeCell ref="K52:L52"/>
    <mergeCell ref="I52:J52"/>
    <mergeCell ref="K62:L62"/>
    <mergeCell ref="I62:J62"/>
    <mergeCell ref="K71:L71"/>
    <mergeCell ref="I71:J71"/>
    <mergeCell ref="K143:L143"/>
    <mergeCell ref="I143:J143"/>
    <mergeCell ref="K153:L153"/>
    <mergeCell ref="I153:J153"/>
    <mergeCell ref="K163:L163"/>
    <mergeCell ref="I163:J163"/>
    <mergeCell ref="K114:L114"/>
    <mergeCell ref="I114:J114"/>
    <mergeCell ref="K125:L125"/>
    <mergeCell ref="I125:J125"/>
    <mergeCell ref="K135:L135"/>
    <mergeCell ref="I135:J135"/>
    <mergeCell ref="K181:L181"/>
    <mergeCell ref="I181:J181"/>
    <mergeCell ref="K187:L187"/>
    <mergeCell ref="I187:J187"/>
    <mergeCell ref="K193:L193"/>
    <mergeCell ref="I193:J193"/>
    <mergeCell ref="K165:L165"/>
    <mergeCell ref="I165:J165"/>
    <mergeCell ref="A165:H165"/>
    <mergeCell ref="A169:L169"/>
    <mergeCell ref="K175:L175"/>
    <mergeCell ref="I175:J175"/>
    <mergeCell ref="A237:H237"/>
    <mergeCell ref="A241:L241"/>
    <mergeCell ref="K217:L217"/>
    <mergeCell ref="I217:J217"/>
    <mergeCell ref="K223:L223"/>
    <mergeCell ref="I223:J223"/>
    <mergeCell ref="K229:L229"/>
    <mergeCell ref="I229:J229"/>
    <mergeCell ref="K199:L199"/>
    <mergeCell ref="I199:J199"/>
    <mergeCell ref="K205:L205"/>
    <mergeCell ref="I205:J205"/>
    <mergeCell ref="K211:L211"/>
    <mergeCell ref="I211:J211"/>
    <mergeCell ref="K244:L244"/>
    <mergeCell ref="I244:J244"/>
    <mergeCell ref="K247:L247"/>
    <mergeCell ref="I247:J247"/>
    <mergeCell ref="K250:L250"/>
    <mergeCell ref="I250:J250"/>
    <mergeCell ref="K235:L235"/>
    <mergeCell ref="I235:J235"/>
    <mergeCell ref="K237:L237"/>
    <mergeCell ref="I237:J237"/>
    <mergeCell ref="K258:L258"/>
    <mergeCell ref="I258:J258"/>
    <mergeCell ref="K260:L260"/>
    <mergeCell ref="I260:J260"/>
    <mergeCell ref="A260:H260"/>
    <mergeCell ref="K264:L264"/>
    <mergeCell ref="I264:J264"/>
    <mergeCell ref="A264:H264"/>
    <mergeCell ref="K252:L252"/>
    <mergeCell ref="I252:J252"/>
    <mergeCell ref="K254:L254"/>
    <mergeCell ref="I254:J254"/>
    <mergeCell ref="K256:L256"/>
    <mergeCell ref="I256:J256"/>
    <mergeCell ref="D280:H280"/>
    <mergeCell ref="D273:J273"/>
    <mergeCell ref="K273:L273"/>
    <mergeCell ref="B276:C276"/>
    <mergeCell ref="I276:K276"/>
    <mergeCell ref="D277:H277"/>
    <mergeCell ref="B279:C279"/>
    <mergeCell ref="I279:K279"/>
    <mergeCell ref="K268:L268"/>
    <mergeCell ref="I268:J268"/>
    <mergeCell ref="A268:H268"/>
    <mergeCell ref="D271:J271"/>
    <mergeCell ref="K271:L271"/>
    <mergeCell ref="D272:J272"/>
    <mergeCell ref="K272:L272"/>
  </mergeCells>
  <pageMargins left="0.4" right="0.2" top="0.2" bottom="0.4" header="0.2" footer="0.2"/>
  <pageSetup paperSize="9" scale="66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3" t="str">
        <f>Source!B1</f>
        <v>Smeta.RU  (495) 974-1589</v>
      </c>
      <c r="B1" s="143"/>
      <c r="C1" s="143"/>
      <c r="D1" s="143"/>
      <c r="E1" s="11"/>
      <c r="F1" s="11"/>
      <c r="G1" s="11"/>
      <c r="H1" s="144" t="s">
        <v>328</v>
      </c>
      <c r="I1" s="144"/>
      <c r="J1" s="144"/>
      <c r="K1" s="144"/>
      <c r="L1" s="144"/>
    </row>
    <row r="2" spans="1:12" ht="14.25" x14ac:dyDescent="0.2">
      <c r="A2" s="11"/>
      <c r="B2" s="11"/>
      <c r="C2" s="11"/>
      <c r="D2" s="11"/>
      <c r="E2" s="11"/>
      <c r="F2" s="11"/>
      <c r="G2" s="11"/>
      <c r="H2" s="144" t="s">
        <v>295</v>
      </c>
      <c r="I2" s="144"/>
      <c r="J2" s="144"/>
      <c r="K2" s="144"/>
      <c r="L2" s="144"/>
    </row>
    <row r="3" spans="1:12" ht="14.25" x14ac:dyDescent="0.2">
      <c r="A3" s="11"/>
      <c r="B3" s="11"/>
      <c r="C3" s="11"/>
      <c r="D3" s="11"/>
      <c r="E3" s="11"/>
      <c r="F3" s="11"/>
      <c r="G3" s="11"/>
      <c r="H3" s="144" t="s">
        <v>296</v>
      </c>
      <c r="I3" s="144"/>
      <c r="J3" s="144"/>
      <c r="K3" s="144"/>
      <c r="L3" s="14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6" t="s">
        <v>329</v>
      </c>
      <c r="L4" s="108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7" t="s">
        <v>298</v>
      </c>
      <c r="J5" s="67"/>
      <c r="K5" s="106">
        <v>322001</v>
      </c>
      <c r="L5" s="108"/>
    </row>
    <row r="6" spans="1:12" ht="14.25" x14ac:dyDescent="0.2">
      <c r="A6" s="67" t="s">
        <v>330</v>
      </c>
      <c r="B6" s="67"/>
      <c r="C6" s="140"/>
      <c r="D6" s="140"/>
      <c r="E6" s="140"/>
      <c r="F6" s="140"/>
      <c r="G6" s="140"/>
      <c r="H6" s="140"/>
      <c r="I6" s="140"/>
      <c r="J6" s="10" t="s">
        <v>301</v>
      </c>
      <c r="K6" s="106"/>
      <c r="L6" s="108"/>
    </row>
    <row r="7" spans="1:12" ht="14.25" x14ac:dyDescent="0.2">
      <c r="A7" s="11"/>
      <c r="B7" s="11"/>
      <c r="C7" s="48" t="s">
        <v>302</v>
      </c>
      <c r="D7" s="48"/>
      <c r="E7" s="48"/>
      <c r="F7" s="48"/>
      <c r="G7" s="48"/>
      <c r="H7" s="48"/>
      <c r="I7" s="48"/>
      <c r="J7" s="11"/>
      <c r="K7" s="36"/>
      <c r="L7" s="43"/>
    </row>
    <row r="8" spans="1:12" ht="14.25" x14ac:dyDescent="0.2">
      <c r="A8" s="67" t="s">
        <v>331</v>
      </c>
      <c r="B8" s="67"/>
      <c r="C8" s="140"/>
      <c r="D8" s="140"/>
      <c r="E8" s="140"/>
      <c r="F8" s="140"/>
      <c r="G8" s="140"/>
      <c r="H8" s="140"/>
      <c r="I8" s="35"/>
      <c r="J8" s="10" t="s">
        <v>301</v>
      </c>
      <c r="K8" s="141"/>
      <c r="L8" s="142"/>
    </row>
    <row r="9" spans="1:12" ht="14.25" x14ac:dyDescent="0.2">
      <c r="A9" s="11"/>
      <c r="B9" s="11"/>
      <c r="C9" s="48" t="s">
        <v>302</v>
      </c>
      <c r="D9" s="48"/>
      <c r="E9" s="48"/>
      <c r="F9" s="48"/>
      <c r="G9" s="48"/>
      <c r="H9" s="48"/>
      <c r="I9" s="48"/>
      <c r="J9" s="11"/>
      <c r="K9" s="36"/>
      <c r="L9" s="43"/>
    </row>
    <row r="10" spans="1:12" ht="14.25" x14ac:dyDescent="0.2">
      <c r="A10" s="67" t="s">
        <v>332</v>
      </c>
      <c r="B10" s="67"/>
      <c r="C10" s="140"/>
      <c r="D10" s="140"/>
      <c r="E10" s="140"/>
      <c r="F10" s="140"/>
      <c r="G10" s="140"/>
      <c r="H10" s="140"/>
      <c r="I10" s="140"/>
      <c r="J10" s="10" t="s">
        <v>301</v>
      </c>
      <c r="K10" s="141"/>
      <c r="L10" s="142"/>
    </row>
    <row r="11" spans="1:12" ht="14.25" x14ac:dyDescent="0.2">
      <c r="A11" s="11"/>
      <c r="B11" s="11"/>
      <c r="C11" s="48" t="s">
        <v>302</v>
      </c>
      <c r="D11" s="48"/>
      <c r="E11" s="48"/>
      <c r="F11" s="48"/>
      <c r="G11" s="48"/>
      <c r="H11" s="48"/>
      <c r="I11" s="48"/>
      <c r="J11" s="11"/>
      <c r="K11" s="36"/>
      <c r="L11" s="43"/>
    </row>
    <row r="12" spans="1:12" ht="14.25" x14ac:dyDescent="0.2">
      <c r="A12" s="67" t="s">
        <v>333</v>
      </c>
      <c r="B12" s="67"/>
      <c r="C12" s="140"/>
      <c r="D12" s="140"/>
      <c r="E12" s="140"/>
      <c r="F12" s="140"/>
      <c r="G12" s="140"/>
      <c r="H12" s="140"/>
      <c r="I12" s="140"/>
      <c r="J12" s="10" t="s">
        <v>301</v>
      </c>
      <c r="K12" s="141"/>
      <c r="L12" s="142"/>
    </row>
    <row r="13" spans="1:12" ht="14.25" x14ac:dyDescent="0.2">
      <c r="A13" s="11"/>
      <c r="B13" s="11"/>
      <c r="C13" s="48" t="s">
        <v>306</v>
      </c>
      <c r="D13" s="48"/>
      <c r="E13" s="48"/>
      <c r="F13" s="48"/>
      <c r="G13" s="48"/>
      <c r="H13" s="67" t="s">
        <v>334</v>
      </c>
      <c r="I13" s="67"/>
      <c r="J13" s="77"/>
      <c r="K13" s="106"/>
      <c r="L13" s="108"/>
    </row>
    <row r="14" spans="1:12" ht="14.25" x14ac:dyDescent="0.2">
      <c r="A14" s="11"/>
      <c r="B14" s="11"/>
      <c r="C14" s="11"/>
      <c r="D14" s="11"/>
      <c r="E14" s="67" t="s">
        <v>335</v>
      </c>
      <c r="F14" s="67"/>
      <c r="G14" s="67"/>
      <c r="H14" s="67"/>
      <c r="I14" s="139" t="s">
        <v>311</v>
      </c>
      <c r="J14" s="98"/>
      <c r="K14" s="106"/>
      <c r="L14" s="10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4" t="s">
        <v>312</v>
      </c>
      <c r="J15" s="125"/>
      <c r="K15" s="126"/>
      <c r="L15" s="127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8" t="s">
        <v>336</v>
      </c>
      <c r="J16" s="98"/>
      <c r="K16" s="128"/>
      <c r="L16" s="129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0" t="s">
        <v>337</v>
      </c>
      <c r="D19" s="131"/>
      <c r="E19" s="130" t="s">
        <v>338</v>
      </c>
      <c r="F19" s="134"/>
      <c r="G19" s="11"/>
      <c r="H19" s="11"/>
      <c r="I19" s="130" t="s">
        <v>316</v>
      </c>
      <c r="J19" s="131"/>
      <c r="K19" s="131"/>
      <c r="L19" s="134"/>
    </row>
    <row r="20" spans="1:12" ht="14.25" x14ac:dyDescent="0.2">
      <c r="A20" s="11"/>
      <c r="B20" s="11"/>
      <c r="C20" s="132"/>
      <c r="D20" s="133"/>
      <c r="E20" s="132"/>
      <c r="F20" s="135"/>
      <c r="G20" s="11"/>
      <c r="H20" s="11"/>
      <c r="I20" s="136" t="s">
        <v>317</v>
      </c>
      <c r="J20" s="137"/>
      <c r="K20" s="136" t="s">
        <v>318</v>
      </c>
      <c r="L20" s="138"/>
    </row>
    <row r="21" spans="1:12" ht="14.25" x14ac:dyDescent="0.2">
      <c r="A21" s="11"/>
      <c r="B21" s="11"/>
      <c r="C21" s="119"/>
      <c r="D21" s="120"/>
      <c r="E21" s="121"/>
      <c r="F21" s="122"/>
      <c r="G21" s="44"/>
      <c r="H21" s="44"/>
      <c r="I21" s="121"/>
      <c r="J21" s="123"/>
      <c r="K21" s="121"/>
      <c r="L21" s="122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5" t="s">
        <v>339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" x14ac:dyDescent="0.25">
      <c r="A25" s="75" t="s">
        <v>340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3" t="s">
        <v>341</v>
      </c>
      <c r="B28" s="113" t="s">
        <v>342</v>
      </c>
      <c r="C28" s="115"/>
      <c r="D28" s="115"/>
      <c r="E28" s="115"/>
      <c r="F28" s="113" t="s">
        <v>297</v>
      </c>
      <c r="G28" s="113" t="s">
        <v>343</v>
      </c>
      <c r="H28" s="115"/>
      <c r="I28" s="115"/>
      <c r="J28" s="115"/>
      <c r="K28" s="115"/>
      <c r="L28" s="117"/>
    </row>
    <row r="29" spans="1:12" x14ac:dyDescent="0.2">
      <c r="A29" s="114"/>
      <c r="B29" s="114"/>
      <c r="C29" s="116"/>
      <c r="D29" s="116"/>
      <c r="E29" s="116"/>
      <c r="F29" s="114"/>
      <c r="G29" s="113" t="s">
        <v>344</v>
      </c>
      <c r="H29" s="115"/>
      <c r="I29" s="113" t="s">
        <v>345</v>
      </c>
      <c r="J29" s="115"/>
      <c r="K29" s="113" t="s">
        <v>346</v>
      </c>
      <c r="L29" s="117"/>
    </row>
    <row r="30" spans="1:12" x14ac:dyDescent="0.2">
      <c r="A30" s="114"/>
      <c r="B30" s="114"/>
      <c r="C30" s="116"/>
      <c r="D30" s="116"/>
      <c r="E30" s="116"/>
      <c r="F30" s="114"/>
      <c r="G30" s="114"/>
      <c r="H30" s="116"/>
      <c r="I30" s="114"/>
      <c r="J30" s="116"/>
      <c r="K30" s="114"/>
      <c r="L30" s="118"/>
    </row>
    <row r="31" spans="1:12" x14ac:dyDescent="0.2">
      <c r="A31" s="114"/>
      <c r="B31" s="114"/>
      <c r="C31" s="116"/>
      <c r="D31" s="116"/>
      <c r="E31" s="116"/>
      <c r="F31" s="114"/>
      <c r="G31" s="114"/>
      <c r="H31" s="116"/>
      <c r="I31" s="114"/>
      <c r="J31" s="116"/>
      <c r="K31" s="114"/>
      <c r="L31" s="118"/>
    </row>
    <row r="32" spans="1:12" x14ac:dyDescent="0.2">
      <c r="A32" s="114"/>
      <c r="B32" s="114"/>
      <c r="C32" s="116"/>
      <c r="D32" s="116"/>
      <c r="E32" s="116"/>
      <c r="F32" s="114"/>
      <c r="G32" s="114"/>
      <c r="H32" s="116"/>
      <c r="I32" s="114"/>
      <c r="J32" s="116"/>
      <c r="K32" s="114"/>
      <c r="L32" s="118"/>
    </row>
    <row r="33" spans="1:12" ht="14.25" x14ac:dyDescent="0.2">
      <c r="A33" s="36">
        <v>1</v>
      </c>
      <c r="B33" s="106">
        <v>2</v>
      </c>
      <c r="C33" s="107"/>
      <c r="D33" s="107"/>
      <c r="E33" s="107"/>
      <c r="F33" s="36">
        <v>3</v>
      </c>
      <c r="G33" s="106">
        <v>4</v>
      </c>
      <c r="H33" s="107"/>
      <c r="I33" s="106">
        <v>5</v>
      </c>
      <c r="J33" s="107"/>
      <c r="K33" s="106">
        <v>6</v>
      </c>
      <c r="L33" s="108"/>
    </row>
    <row r="34" spans="1:12" ht="14.25" x14ac:dyDescent="0.2">
      <c r="A34" s="45"/>
      <c r="B34" s="109" t="s">
        <v>347</v>
      </c>
      <c r="C34" s="96"/>
      <c r="D34" s="96"/>
      <c r="E34" s="96"/>
      <c r="F34" s="46"/>
      <c r="G34" s="110"/>
      <c r="H34" s="111"/>
      <c r="I34" s="110"/>
      <c r="J34" s="111"/>
      <c r="K34" s="110"/>
      <c r="L34" s="112"/>
    </row>
    <row r="35" spans="1:12" ht="14.25" x14ac:dyDescent="0.2">
      <c r="A35" s="47"/>
      <c r="B35" s="94" t="s">
        <v>348</v>
      </c>
      <c r="C35" s="95"/>
      <c r="D35" s="95"/>
      <c r="E35" s="95"/>
      <c r="F35" s="95"/>
      <c r="G35" s="95"/>
      <c r="H35" s="95"/>
      <c r="I35" s="95"/>
      <c r="J35" s="95"/>
      <c r="K35" s="96"/>
      <c r="L35" s="97"/>
    </row>
    <row r="36" spans="1:12" ht="14.25" x14ac:dyDescent="0.2">
      <c r="A36" s="98" t="s">
        <v>234</v>
      </c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99"/>
    </row>
    <row r="37" spans="1:12" ht="14.25" x14ac:dyDescent="0.2">
      <c r="A37" s="101" t="s">
        <v>349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/>
    </row>
    <row r="38" spans="1:12" ht="14.25" x14ac:dyDescent="0.2">
      <c r="A38" s="101" t="s">
        <v>350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4"/>
      <c r="L38" s="105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1" t="s">
        <v>331</v>
      </c>
      <c r="B42" s="91"/>
      <c r="C42" s="92"/>
      <c r="D42" s="92"/>
      <c r="E42" s="92"/>
      <c r="F42" s="11"/>
      <c r="G42" s="92"/>
      <c r="H42" s="92"/>
      <c r="I42" s="11"/>
      <c r="J42" s="92"/>
      <c r="K42" s="92"/>
      <c r="L42" s="92"/>
    </row>
    <row r="43" spans="1:12" ht="14.25" x14ac:dyDescent="0.2">
      <c r="A43" s="11"/>
      <c r="B43" s="11"/>
      <c r="C43" s="93" t="s">
        <v>351</v>
      </c>
      <c r="D43" s="93"/>
      <c r="E43" s="93"/>
      <c r="F43" s="11"/>
      <c r="G43" s="93" t="s">
        <v>352</v>
      </c>
      <c r="H43" s="93"/>
      <c r="I43" s="11"/>
      <c r="J43" s="93" t="s">
        <v>353</v>
      </c>
      <c r="K43" s="93"/>
      <c r="L43" s="93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354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1" t="s">
        <v>332</v>
      </c>
      <c r="B49" s="91"/>
      <c r="C49" s="92"/>
      <c r="D49" s="92"/>
      <c r="E49" s="92"/>
      <c r="F49" s="11"/>
      <c r="G49" s="92"/>
      <c r="H49" s="92"/>
      <c r="I49" s="11"/>
      <c r="J49" s="92"/>
      <c r="K49" s="92"/>
      <c r="L49" s="92"/>
    </row>
    <row r="50" spans="1:12" ht="14.25" x14ac:dyDescent="0.2">
      <c r="A50" s="11"/>
      <c r="B50" s="11"/>
      <c r="C50" s="93" t="s">
        <v>351</v>
      </c>
      <c r="D50" s="93"/>
      <c r="E50" s="93"/>
      <c r="F50" s="11"/>
      <c r="G50" s="93" t="s">
        <v>352</v>
      </c>
      <c r="H50" s="93"/>
      <c r="I50" s="11"/>
      <c r="J50" s="93" t="s">
        <v>353</v>
      </c>
      <c r="K50" s="93"/>
      <c r="L50" s="93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354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30"/>
  <sheetViews>
    <sheetView workbookViewId="0">
      <selection activeCell="F12" sqref="F1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225</v>
      </c>
      <c r="C12" s="1">
        <v>0</v>
      </c>
      <c r="D12" s="1">
        <f>ROW(A189)</f>
        <v>189</v>
      </c>
      <c r="E12" s="1">
        <v>0</v>
      </c>
      <c r="F12" s="146" t="s">
        <v>20</v>
      </c>
      <c r="G12" s="146" t="s">
        <v>20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B189</f>
        <v>225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ТП-522. Реконструкция. Замена 8 панелей в РУ-0,4 кВ.</v>
      </c>
      <c r="G18" s="2" t="str">
        <f t="shared" si="0"/>
        <v>ТП-522. Реконструкция. Замена 8 панелей в РУ-0,4 кВ.</v>
      </c>
      <c r="H18" s="2"/>
      <c r="I18" s="2"/>
      <c r="J18" s="2"/>
      <c r="K18" s="2"/>
      <c r="L18" s="2"/>
      <c r="M18" s="2"/>
      <c r="N18" s="2"/>
      <c r="O18" s="2">
        <f t="shared" ref="O18:AT18" si="1">O189</f>
        <v>1784259.89</v>
      </c>
      <c r="P18" s="2">
        <f t="shared" si="1"/>
        <v>1646916.55</v>
      </c>
      <c r="Q18" s="2">
        <f t="shared" si="1"/>
        <v>22950.48</v>
      </c>
      <c r="R18" s="2">
        <f t="shared" si="1"/>
        <v>12245.02</v>
      </c>
      <c r="S18" s="2">
        <f t="shared" si="1"/>
        <v>114392.86</v>
      </c>
      <c r="T18" s="2">
        <f t="shared" si="1"/>
        <v>0</v>
      </c>
      <c r="U18" s="2">
        <f t="shared" si="1"/>
        <v>354.98715720000001</v>
      </c>
      <c r="V18" s="2">
        <f t="shared" si="1"/>
        <v>0</v>
      </c>
      <c r="W18" s="2">
        <f t="shared" si="1"/>
        <v>0</v>
      </c>
      <c r="X18" s="2">
        <f t="shared" si="1"/>
        <v>83250.720000000001</v>
      </c>
      <c r="Y18" s="2">
        <f t="shared" si="1"/>
        <v>46901.08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1933636.37</v>
      </c>
      <c r="AS18" s="2">
        <f t="shared" si="1"/>
        <v>0</v>
      </c>
      <c r="AT18" s="2">
        <f t="shared" si="1"/>
        <v>258021.84</v>
      </c>
      <c r="AU18" s="2">
        <f t="shared" ref="AU18:BZ18" si="2">AU189</f>
        <v>1675614.53</v>
      </c>
      <c r="AV18" s="2">
        <f t="shared" si="2"/>
        <v>1646916.55</v>
      </c>
      <c r="AW18" s="2">
        <f t="shared" si="2"/>
        <v>1646916.55</v>
      </c>
      <c r="AX18" s="2">
        <f t="shared" si="2"/>
        <v>0</v>
      </c>
      <c r="AY18" s="2">
        <f t="shared" si="2"/>
        <v>1646916.55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CA189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DG189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EM189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FS189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ROW(A159)</f>
        <v>159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B159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ТП-522. Реконструкция. Замена 8 панелей в РУ-0,4 кВ.</v>
      </c>
      <c r="H22" s="2"/>
      <c r="I22" s="2"/>
      <c r="J22" s="2"/>
      <c r="K22" s="2"/>
      <c r="L22" s="2"/>
      <c r="M22" s="2"/>
      <c r="N22" s="2"/>
      <c r="O22" s="2">
        <f t="shared" ref="O22:AT22" si="8">O159</f>
        <v>1784259.89</v>
      </c>
      <c r="P22" s="2">
        <f t="shared" si="8"/>
        <v>1646916.55</v>
      </c>
      <c r="Q22" s="2">
        <f t="shared" si="8"/>
        <v>22950.48</v>
      </c>
      <c r="R22" s="2">
        <f t="shared" si="8"/>
        <v>12245.02</v>
      </c>
      <c r="S22" s="2">
        <f t="shared" si="8"/>
        <v>114392.86</v>
      </c>
      <c r="T22" s="2">
        <f t="shared" si="8"/>
        <v>0</v>
      </c>
      <c r="U22" s="2">
        <f t="shared" si="8"/>
        <v>354.98715720000001</v>
      </c>
      <c r="V22" s="2">
        <f t="shared" si="8"/>
        <v>0</v>
      </c>
      <c r="W22" s="2">
        <f t="shared" si="8"/>
        <v>0</v>
      </c>
      <c r="X22" s="2">
        <f t="shared" si="8"/>
        <v>83250.720000000001</v>
      </c>
      <c r="Y22" s="2">
        <f t="shared" si="8"/>
        <v>46901.08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1933636.37</v>
      </c>
      <c r="AS22" s="2">
        <f t="shared" si="8"/>
        <v>0</v>
      </c>
      <c r="AT22" s="2">
        <f t="shared" si="8"/>
        <v>258021.84</v>
      </c>
      <c r="AU22" s="2">
        <f t="shared" ref="AU22:BZ22" si="9">AU159</f>
        <v>1675614.53</v>
      </c>
      <c r="AV22" s="2">
        <f t="shared" si="9"/>
        <v>1646916.55</v>
      </c>
      <c r="AW22" s="2">
        <f t="shared" si="9"/>
        <v>1646916.55</v>
      </c>
      <c r="AX22" s="2">
        <f t="shared" si="9"/>
        <v>0</v>
      </c>
      <c r="AY22" s="2">
        <f t="shared" si="9"/>
        <v>1646916.55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CA159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DG159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EM159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FS159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ROW(A41)</f>
        <v>41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O41</f>
        <v>101035.4</v>
      </c>
      <c r="P26" s="2">
        <f t="shared" si="15"/>
        <v>17378.509999999998</v>
      </c>
      <c r="Q26" s="2">
        <f t="shared" si="15"/>
        <v>22950.48</v>
      </c>
      <c r="R26" s="2">
        <f t="shared" si="15"/>
        <v>12245.02</v>
      </c>
      <c r="S26" s="2">
        <f t="shared" si="15"/>
        <v>60706.41</v>
      </c>
      <c r="T26" s="2">
        <f t="shared" si="15"/>
        <v>0</v>
      </c>
      <c r="U26" s="2">
        <f t="shared" si="15"/>
        <v>204.3823572</v>
      </c>
      <c r="V26" s="2">
        <f t="shared" si="15"/>
        <v>0</v>
      </c>
      <c r="W26" s="2">
        <f t="shared" si="15"/>
        <v>0</v>
      </c>
      <c r="X26" s="2">
        <f t="shared" si="15"/>
        <v>46743.95</v>
      </c>
      <c r="Y26" s="2">
        <f t="shared" si="15"/>
        <v>24889.63</v>
      </c>
      <c r="Z26" s="2">
        <f t="shared" si="15"/>
        <v>0</v>
      </c>
      <c r="AA26" s="2">
        <f t="shared" si="15"/>
        <v>0</v>
      </c>
      <c r="AB26" s="2">
        <f t="shared" si="15"/>
        <v>101035.4</v>
      </c>
      <c r="AC26" s="2">
        <f t="shared" si="15"/>
        <v>17378.509999999998</v>
      </c>
      <c r="AD26" s="2">
        <f t="shared" si="15"/>
        <v>22950.48</v>
      </c>
      <c r="AE26" s="2">
        <f t="shared" si="15"/>
        <v>12245.02</v>
      </c>
      <c r="AF26" s="2">
        <f t="shared" si="15"/>
        <v>60706.41</v>
      </c>
      <c r="AG26" s="2">
        <f t="shared" si="15"/>
        <v>0</v>
      </c>
      <c r="AH26" s="2">
        <f t="shared" si="15"/>
        <v>204.3823572</v>
      </c>
      <c r="AI26" s="2">
        <f t="shared" si="15"/>
        <v>0</v>
      </c>
      <c r="AJ26" s="2">
        <f t="shared" si="15"/>
        <v>0</v>
      </c>
      <c r="AK26" s="2">
        <f t="shared" si="15"/>
        <v>46743.95</v>
      </c>
      <c r="AL26" s="2">
        <f t="shared" si="15"/>
        <v>24889.63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191893.66</v>
      </c>
      <c r="AS26" s="2">
        <f t="shared" si="15"/>
        <v>0</v>
      </c>
      <c r="AT26" s="2">
        <f t="shared" si="15"/>
        <v>191893.66</v>
      </c>
      <c r="AU26" s="2">
        <f t="shared" ref="AU26:BZ26" si="16">AU41</f>
        <v>0</v>
      </c>
      <c r="AV26" s="2">
        <f t="shared" si="16"/>
        <v>17378.509999999998</v>
      </c>
      <c r="AW26" s="2">
        <f t="shared" si="16"/>
        <v>17378.509999999998</v>
      </c>
      <c r="AX26" s="2">
        <f t="shared" si="16"/>
        <v>0</v>
      </c>
      <c r="AY26" s="2">
        <f t="shared" si="16"/>
        <v>17378.509999999998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191893.66</v>
      </c>
      <c r="CB26" s="2">
        <f t="shared" si="17"/>
        <v>0</v>
      </c>
      <c r="CC26" s="2">
        <f t="shared" si="17"/>
        <v>191893.66</v>
      </c>
      <c r="CD26" s="2">
        <f t="shared" si="17"/>
        <v>0</v>
      </c>
      <c r="CE26" s="2">
        <f t="shared" si="17"/>
        <v>17378.509999999998</v>
      </c>
      <c r="CF26" s="2">
        <f t="shared" si="17"/>
        <v>17378.509999999998</v>
      </c>
      <c r="CG26" s="2">
        <f t="shared" si="17"/>
        <v>0</v>
      </c>
      <c r="CH26" s="2">
        <f t="shared" si="17"/>
        <v>17378.509999999998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f>ROUND(0.312,9)</f>
        <v>0.312</v>
      </c>
      <c r="J28">
        <v>0</v>
      </c>
      <c r="O28">
        <f t="shared" ref="O28:O39" si="21">ROUND(CP28,2)</f>
        <v>17842.8</v>
      </c>
      <c r="P28">
        <f t="shared" ref="P28:P39" si="22">ROUND((ROUND((AC28*AW28*I28),2)*BC28),2)</f>
        <v>9000.09</v>
      </c>
      <c r="Q28">
        <f>(ROUND((ROUND((((ET28*1.2))*AV28*I28),2)*BB28),2)+ROUND((ROUND(((AE28-((EU28*1.2)))*AV28*I28),2)*BS28),2))</f>
        <v>2261.44</v>
      </c>
      <c r="R28">
        <f t="shared" ref="R28:R39" si="23">ROUND((ROUND((AE28*AV28*I28),2)*BS28),2)</f>
        <v>646.80999999999995</v>
      </c>
      <c r="S28">
        <f t="shared" ref="S28:S39" si="24">ROUND((ROUND((AF28*AV28*I28),2)*BA28),2)</f>
        <v>6581.27</v>
      </c>
      <c r="T28">
        <f t="shared" ref="T28:T39" si="25">ROUND(CU28*I28,2)</f>
        <v>0</v>
      </c>
      <c r="U28">
        <f t="shared" ref="U28:U39" si="26">CV28*I28</f>
        <v>21.011028479999997</v>
      </c>
      <c r="V28">
        <f t="shared" ref="V28:V39" si="27">CW28*I28</f>
        <v>0</v>
      </c>
      <c r="W28">
        <f t="shared" ref="W28:W39" si="28">ROUND(CX28*I28,2)</f>
        <v>0</v>
      </c>
      <c r="X28">
        <f t="shared" ref="X28:X39" si="29">ROUND(CY28,2)</f>
        <v>5067.58</v>
      </c>
      <c r="Y28">
        <f t="shared" ref="Y28:Y39" si="30">ROUND(CZ28,2)</f>
        <v>2698.32</v>
      </c>
      <c r="AA28">
        <v>23680976</v>
      </c>
      <c r="AB28">
        <f t="shared" ref="AB28:AB39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9" si="32">ROUND((AP28),6)</f>
        <v>0</v>
      </c>
      <c r="AH28">
        <f>((EW28*1.2))</f>
        <v>64.319999999999993</v>
      </c>
      <c r="AI28">
        <f>((EX28*1.2))</f>
        <v>0</v>
      </c>
      <c r="AJ28">
        <f t="shared" ref="AJ28:AJ39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8.2100000000000009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246</v>
      </c>
      <c r="CO28">
        <v>0</v>
      </c>
      <c r="CP28">
        <f t="shared" ref="CP28:CP39" si="34">(P28+Q28+S28)</f>
        <v>17842.800000000003</v>
      </c>
      <c r="CQ28">
        <f t="shared" ref="CQ28:CQ39" si="35">ROUND((ROUND((AC28*AW28*1),2)*BC28),2)</f>
        <v>28846.37</v>
      </c>
      <c r="CR28">
        <f>(ROUND((ROUND((((ET28*1.2))*AV28*1),2)*BB28),2)+ROUND((ROUND(((AE28-((EU28*1.2)))*AV28*1),2)*BS28),2))</f>
        <v>7248.28</v>
      </c>
      <c r="CS28">
        <f t="shared" ref="CS28:CS39" si="36">ROUND((ROUND((AE28*AV28*1),2)*BS28),2)</f>
        <v>2073.21</v>
      </c>
      <c r="CT28">
        <f t="shared" ref="CT28:CT39" si="37">ROUND((ROUND((AF28*AV28*1),2)*BA28),2)</f>
        <v>21093.77</v>
      </c>
      <c r="CU28">
        <f t="shared" ref="CU28:CU39" si="38">AG28</f>
        <v>0</v>
      </c>
      <c r="CV28">
        <f t="shared" ref="CV28:CV39" si="39">(AH28*AV28)</f>
        <v>67.343039999999988</v>
      </c>
      <c r="CW28">
        <f t="shared" ref="CW28:CW39" si="40">AI28</f>
        <v>0</v>
      </c>
      <c r="CX28">
        <f t="shared" ref="CX28:CX39" si="41">AJ28</f>
        <v>0</v>
      </c>
      <c r="CY28">
        <f t="shared" ref="CY28:CY39" si="42">S28*(BZ28/100)</f>
        <v>5067.5779000000002</v>
      </c>
      <c r="CZ28">
        <f t="shared" ref="CZ28:CZ39" si="43">S28*(CA28/100)</f>
        <v>2698.3207000000002</v>
      </c>
      <c r="DC28" t="s">
        <v>3</v>
      </c>
      <c r="DD28" t="s">
        <v>3</v>
      </c>
      <c r="DE28" t="s">
        <v>28</v>
      </c>
      <c r="DF28" t="s">
        <v>28</v>
      </c>
      <c r="DG28" t="s">
        <v>28</v>
      </c>
      <c r="DH28" t="s">
        <v>3</v>
      </c>
      <c r="DI28" t="s">
        <v>28</v>
      </c>
      <c r="DJ28" t="s">
        <v>28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26</v>
      </c>
      <c r="DW28" t="s">
        <v>26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29</v>
      </c>
      <c r="EH28">
        <v>0</v>
      </c>
      <c r="EI28" t="s">
        <v>3</v>
      </c>
      <c r="EJ28">
        <v>2</v>
      </c>
      <c r="EK28">
        <v>317</v>
      </c>
      <c r="EL28" t="s">
        <v>30</v>
      </c>
      <c r="EM28" t="s">
        <v>31</v>
      </c>
      <c r="EO28" t="s">
        <v>32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9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1015.49</v>
      </c>
      <c r="GL28">
        <f t="shared" ref="GL28:GL39" si="45">ROUND(IF(AND(BH28=3,BI28=3,FS28&lt;&gt;0),P28,0),2)</f>
        <v>0</v>
      </c>
      <c r="GM28">
        <f t="shared" ref="GM28:GM39" si="46">ROUND(O28+X28+Y28+GK28,2)+GX28</f>
        <v>26624.19</v>
      </c>
      <c r="GN28">
        <f t="shared" ref="GN28:GN39" si="47">IF(OR(BI28=0,BI28=1),ROUND(O28+X28+Y28+GK28,2),0)</f>
        <v>0</v>
      </c>
      <c r="GO28">
        <f t="shared" ref="GO28:GO39" si="48">IF(BI28=2,ROUND(O28+X28+Y28+GK28,2),0)</f>
        <v>26624.19</v>
      </c>
      <c r="GP28">
        <f t="shared" ref="GP28:GP39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9" si="50">ROUND((GT28),6)</f>
        <v>0</v>
      </c>
      <c r="GW28">
        <v>1</v>
      </c>
      <c r="GX28">
        <f t="shared" ref="GX28:GX39" si="51">ROUND(HC28*I28,2)</f>
        <v>0</v>
      </c>
      <c r="HA28">
        <v>0</v>
      </c>
      <c r="HB28">
        <v>0</v>
      </c>
      <c r="HC28">
        <f t="shared" ref="HC28:HC39" si="52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33</v>
      </c>
      <c r="F29" t="s">
        <v>34</v>
      </c>
      <c r="G29" t="s">
        <v>35</v>
      </c>
      <c r="H29" t="s">
        <v>36</v>
      </c>
      <c r="I29">
        <v>8</v>
      </c>
      <c r="J29">
        <v>0</v>
      </c>
      <c r="O29">
        <f t="shared" si="21"/>
        <v>22048.95</v>
      </c>
      <c r="P29">
        <f t="shared" si="22"/>
        <v>6058.42</v>
      </c>
      <c r="Q29">
        <f>(ROUND((ROUND((((ET29*1.2))*AV29*I29),2)*BB29),2)+ROUND((ROUND(((AE29-((EU29*1.2)))*AV29*I29),2)*BS29),2))</f>
        <v>5008.3900000000003</v>
      </c>
      <c r="R29">
        <f t="shared" si="23"/>
        <v>1986.96</v>
      </c>
      <c r="S29">
        <f t="shared" si="24"/>
        <v>10982.14</v>
      </c>
      <c r="T29">
        <f t="shared" si="25"/>
        <v>0</v>
      </c>
      <c r="U29">
        <f t="shared" si="26"/>
        <v>41.410943999999994</v>
      </c>
      <c r="V29">
        <f t="shared" si="27"/>
        <v>0</v>
      </c>
      <c r="W29">
        <f t="shared" si="28"/>
        <v>0</v>
      </c>
      <c r="X29">
        <f t="shared" si="29"/>
        <v>8456.25</v>
      </c>
      <c r="Y29">
        <f t="shared" si="30"/>
        <v>4502.68</v>
      </c>
      <c r="AA29">
        <v>23680976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20.399999999999999</v>
      </c>
      <c r="BB29">
        <v>7.08</v>
      </c>
      <c r="BC29">
        <v>4.9400000000000004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37</v>
      </c>
      <c r="BM29">
        <v>333</v>
      </c>
      <c r="BN29">
        <v>0</v>
      </c>
      <c r="BO29" t="s">
        <v>34</v>
      </c>
      <c r="BP29">
        <v>1</v>
      </c>
      <c r="BQ29">
        <v>40</v>
      </c>
      <c r="BR29">
        <v>0</v>
      </c>
      <c r="BS29">
        <v>20.399999999999999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246</v>
      </c>
      <c r="CO29">
        <v>0</v>
      </c>
      <c r="CP29">
        <f t="shared" si="34"/>
        <v>22048.95</v>
      </c>
      <c r="CQ29">
        <f t="shared" si="35"/>
        <v>757.3</v>
      </c>
      <c r="CR29">
        <f>(ROUND((ROUND((((ET29*1.2))*AV29*1),2)*BB29),2)+ROUND((ROUND(((AE29-((EU29*1.2)))*AV29*1),2)*BS29),2))</f>
        <v>626.08000000000004</v>
      </c>
      <c r="CS29">
        <f t="shared" si="36"/>
        <v>248.27</v>
      </c>
      <c r="CT29">
        <f t="shared" si="37"/>
        <v>1372.72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8456.2477999999992</v>
      </c>
      <c r="CZ29">
        <f t="shared" si="43"/>
        <v>4502.6773999999996</v>
      </c>
      <c r="DC29" t="s">
        <v>3</v>
      </c>
      <c r="DD29" t="s">
        <v>3</v>
      </c>
      <c r="DE29" t="s">
        <v>28</v>
      </c>
      <c r="DF29" t="s">
        <v>28</v>
      </c>
      <c r="DG29" t="s">
        <v>28</v>
      </c>
      <c r="DH29" t="s">
        <v>3</v>
      </c>
      <c r="DI29" t="s">
        <v>28</v>
      </c>
      <c r="DJ29" t="s">
        <v>28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36</v>
      </c>
      <c r="DW29" t="s">
        <v>36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29</v>
      </c>
      <c r="EH29">
        <v>0</v>
      </c>
      <c r="EI29" t="s">
        <v>3</v>
      </c>
      <c r="EJ29">
        <v>2</v>
      </c>
      <c r="EK29">
        <v>333</v>
      </c>
      <c r="EL29" t="s">
        <v>38</v>
      </c>
      <c r="EM29" t="s">
        <v>39</v>
      </c>
      <c r="EO29" t="s">
        <v>32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3119.53</v>
      </c>
      <c r="GL29">
        <f t="shared" si="45"/>
        <v>0</v>
      </c>
      <c r="GM29">
        <f t="shared" si="46"/>
        <v>38127.410000000003</v>
      </c>
      <c r="GN29">
        <f t="shared" si="47"/>
        <v>0</v>
      </c>
      <c r="GO29">
        <f t="shared" si="48"/>
        <v>38127.410000000003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40</v>
      </c>
      <c r="F30" t="s">
        <v>34</v>
      </c>
      <c r="G30" t="s">
        <v>41</v>
      </c>
      <c r="H30" t="s">
        <v>36</v>
      </c>
      <c r="I30">
        <v>9</v>
      </c>
      <c r="J30">
        <v>0</v>
      </c>
      <c r="O30">
        <f t="shared" si="21"/>
        <v>5396.83</v>
      </c>
      <c r="P30">
        <f t="shared" si="22"/>
        <v>0</v>
      </c>
      <c r="Q30">
        <f>(ROUND((ROUND(((((ET30*1.2)*0.3))*AV30*I30),2)*BB30),2)+ROUND((ROUND(((AE30-(((EU30*1.2)*0.3)))*AV30*I30),2)*BS30),2))</f>
        <v>1690.35</v>
      </c>
      <c r="R30">
        <f t="shared" si="23"/>
        <v>670.55</v>
      </c>
      <c r="S30">
        <f t="shared" si="24"/>
        <v>3706.48</v>
      </c>
      <c r="T30">
        <f t="shared" si="25"/>
        <v>0</v>
      </c>
      <c r="U30">
        <f t="shared" si="26"/>
        <v>13.976193599999998</v>
      </c>
      <c r="V30">
        <f t="shared" si="27"/>
        <v>0</v>
      </c>
      <c r="W30">
        <f t="shared" si="28"/>
        <v>0</v>
      </c>
      <c r="X30">
        <f t="shared" si="29"/>
        <v>2853.99</v>
      </c>
      <c r="Y30">
        <f t="shared" si="30"/>
        <v>1519.66</v>
      </c>
      <c r="AA30">
        <v>23680976</v>
      </c>
      <c r="AB30">
        <f t="shared" si="31"/>
        <v>44.618400000000001</v>
      </c>
      <c r="AC30">
        <f>ROUND(((ES30*0)),6)</f>
        <v>0</v>
      </c>
      <c r="AD30">
        <f>ROUND((((((ET30*1.2)*0.3))-(((EU30*1.2)*0.3)))+AE30),6)</f>
        <v>25.3368</v>
      </c>
      <c r="AE30">
        <f>ROUND((((EU30*1.2)*0.3)),6)</f>
        <v>3.4883999999999999</v>
      </c>
      <c r="AF30">
        <f>ROUND((((EV30*1.2)*0.3)),6)</f>
        <v>19.281600000000001</v>
      </c>
      <c r="AG30">
        <f t="shared" si="32"/>
        <v>0</v>
      </c>
      <c r="AH30">
        <f>(((EW30*1.2)*0.3))</f>
        <v>1.4831999999999999</v>
      </c>
      <c r="AI30">
        <f>(((EX30*1.2)*0.3))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20.399999999999999</v>
      </c>
      <c r="BB30">
        <v>7.08</v>
      </c>
      <c r="BC30">
        <v>4.9400000000000004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37</v>
      </c>
      <c r="BM30">
        <v>333</v>
      </c>
      <c r="BN30">
        <v>0</v>
      </c>
      <c r="BO30" t="s">
        <v>34</v>
      </c>
      <c r="BP30">
        <v>1</v>
      </c>
      <c r="BQ30">
        <v>40</v>
      </c>
      <c r="BR30">
        <v>0</v>
      </c>
      <c r="BS30">
        <v>20.399999999999999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247</v>
      </c>
      <c r="CO30">
        <v>0</v>
      </c>
      <c r="CP30">
        <f t="shared" si="34"/>
        <v>5396.83</v>
      </c>
      <c r="CQ30">
        <f t="shared" si="35"/>
        <v>0</v>
      </c>
      <c r="CR30">
        <f>(ROUND((ROUND(((((ET30*1.2)*0.3))*AV30*1),2)*BB30),2)+ROUND((ROUND(((AE30-(((EU30*1.2)*0.3)))*AV30*1),2)*BS30),2))</f>
        <v>187.83</v>
      </c>
      <c r="CS30">
        <f t="shared" si="36"/>
        <v>74.459999999999994</v>
      </c>
      <c r="CT30">
        <f t="shared" si="37"/>
        <v>411.88</v>
      </c>
      <c r="CU30">
        <f t="shared" si="38"/>
        <v>0</v>
      </c>
      <c r="CV30">
        <f t="shared" si="39"/>
        <v>1.5529103999999998</v>
      </c>
      <c r="CW30">
        <f t="shared" si="40"/>
        <v>0</v>
      </c>
      <c r="CX30">
        <f t="shared" si="41"/>
        <v>0</v>
      </c>
      <c r="CY30">
        <f t="shared" si="42"/>
        <v>2853.9895999999999</v>
      </c>
      <c r="CZ30">
        <f t="shared" si="43"/>
        <v>1519.6568</v>
      </c>
      <c r="DC30" t="s">
        <v>3</v>
      </c>
      <c r="DD30" t="s">
        <v>42</v>
      </c>
      <c r="DE30" t="s">
        <v>43</v>
      </c>
      <c r="DF30" t="s">
        <v>43</v>
      </c>
      <c r="DG30" t="s">
        <v>43</v>
      </c>
      <c r="DH30" t="s">
        <v>3</v>
      </c>
      <c r="DI30" t="s">
        <v>43</v>
      </c>
      <c r="DJ30" t="s">
        <v>43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36</v>
      </c>
      <c r="DW30" t="s">
        <v>36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29</v>
      </c>
      <c r="EH30">
        <v>0</v>
      </c>
      <c r="EI30" t="s">
        <v>3</v>
      </c>
      <c r="EJ30">
        <v>2</v>
      </c>
      <c r="EK30">
        <v>333</v>
      </c>
      <c r="EL30" t="s">
        <v>38</v>
      </c>
      <c r="EM30" t="s">
        <v>39</v>
      </c>
      <c r="EO30" t="s">
        <v>44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1052.76</v>
      </c>
      <c r="GL30">
        <f t="shared" si="45"/>
        <v>0</v>
      </c>
      <c r="GM30">
        <f t="shared" si="46"/>
        <v>10823.24</v>
      </c>
      <c r="GN30">
        <f t="shared" si="47"/>
        <v>0</v>
      </c>
      <c r="GO30">
        <f t="shared" si="48"/>
        <v>10823.24</v>
      </c>
      <c r="GP30">
        <f t="shared" si="49"/>
        <v>0</v>
      </c>
      <c r="GR30">
        <v>0</v>
      </c>
      <c r="GS30">
        <v>3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45</v>
      </c>
      <c r="F31" t="s">
        <v>46</v>
      </c>
      <c r="G31" t="s">
        <v>47</v>
      </c>
      <c r="H31" t="s">
        <v>48</v>
      </c>
      <c r="I31">
        <f>ROUND(27/100,9)</f>
        <v>0.27</v>
      </c>
      <c r="J31">
        <v>0</v>
      </c>
      <c r="O31">
        <f t="shared" si="21"/>
        <v>6571.88</v>
      </c>
      <c r="P31">
        <f t="shared" si="22"/>
        <v>108.28</v>
      </c>
      <c r="Q31">
        <f>(ROUND((ROUND((((ET31*1.2))*AV31*I31),2)*BB31),2)+ROUND((ROUND(((AE31-((EU31*1.2)))*AV31*I31),2)*BS31),2))</f>
        <v>1607.79</v>
      </c>
      <c r="R31">
        <f t="shared" si="23"/>
        <v>840.07</v>
      </c>
      <c r="S31">
        <f t="shared" si="24"/>
        <v>4855.8100000000004</v>
      </c>
      <c r="T31">
        <f t="shared" si="25"/>
        <v>0</v>
      </c>
      <c r="U31">
        <f t="shared" si="26"/>
        <v>18.861076800000003</v>
      </c>
      <c r="V31">
        <f t="shared" si="27"/>
        <v>0</v>
      </c>
      <c r="W31">
        <f t="shared" si="28"/>
        <v>0</v>
      </c>
      <c r="X31">
        <f t="shared" si="29"/>
        <v>3738.97</v>
      </c>
      <c r="Y31">
        <f t="shared" si="30"/>
        <v>1990.88</v>
      </c>
      <c r="AA31">
        <v>23680976</v>
      </c>
      <c r="AB31">
        <f t="shared" si="31"/>
        <v>1550.96</v>
      </c>
      <c r="AC31">
        <f>ROUND((ES31),6)</f>
        <v>81.2</v>
      </c>
      <c r="AD31">
        <f>ROUND(((((ET31*1.2))-((EU31*1.2)))+AE31),6)</f>
        <v>627.75599999999997</v>
      </c>
      <c r="AE31">
        <f t="shared" ref="AE31:AF33" si="53">ROUND(((EU31*1.2)),6)</f>
        <v>145.65600000000001</v>
      </c>
      <c r="AF31">
        <f t="shared" si="53"/>
        <v>842.00400000000002</v>
      </c>
      <c r="AG31">
        <f t="shared" si="32"/>
        <v>0</v>
      </c>
      <c r="AH31">
        <f t="shared" ref="AH31:AI33" si="54">((EW31*1.2))</f>
        <v>66.72</v>
      </c>
      <c r="AI31">
        <f t="shared" si="54"/>
        <v>0</v>
      </c>
      <c r="AJ31">
        <f t="shared" si="33"/>
        <v>0</v>
      </c>
      <c r="AK31">
        <v>1306</v>
      </c>
      <c r="AL31">
        <v>81.2</v>
      </c>
      <c r="AM31">
        <v>523.13</v>
      </c>
      <c r="AN31">
        <v>121.38</v>
      </c>
      <c r="AO31">
        <v>701.67</v>
      </c>
      <c r="AP31">
        <v>0</v>
      </c>
      <c r="AQ31">
        <v>55.6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20.399999999999999</v>
      </c>
      <c r="BB31">
        <v>9.06</v>
      </c>
      <c r="BC31">
        <v>4.9400000000000004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49</v>
      </c>
      <c r="BM31">
        <v>317</v>
      </c>
      <c r="BN31">
        <v>0</v>
      </c>
      <c r="BO31" t="s">
        <v>46</v>
      </c>
      <c r="BP31">
        <v>1</v>
      </c>
      <c r="BQ31">
        <v>40</v>
      </c>
      <c r="BR31">
        <v>0</v>
      </c>
      <c r="BS31">
        <v>20.399999999999999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246</v>
      </c>
      <c r="CO31">
        <v>0</v>
      </c>
      <c r="CP31">
        <f t="shared" si="34"/>
        <v>6571.88</v>
      </c>
      <c r="CQ31">
        <f t="shared" si="35"/>
        <v>401.13</v>
      </c>
      <c r="CR31">
        <f>(ROUND((ROUND((((ET31*1.2))*AV31*1),2)*BB31),2)+ROUND((ROUND(((AE31-((EU31*1.2)))*AV31*1),2)*BS31),2))</f>
        <v>5954.78</v>
      </c>
      <c r="CS31">
        <f t="shared" si="36"/>
        <v>3111</v>
      </c>
      <c r="CT31">
        <f t="shared" si="37"/>
        <v>17984.23</v>
      </c>
      <c r="CU31">
        <f t="shared" si="38"/>
        <v>0</v>
      </c>
      <c r="CV31">
        <f t="shared" si="39"/>
        <v>69.855840000000001</v>
      </c>
      <c r="CW31">
        <f t="shared" si="40"/>
        <v>0</v>
      </c>
      <c r="CX31">
        <f t="shared" si="41"/>
        <v>0</v>
      </c>
      <c r="CY31">
        <f t="shared" si="42"/>
        <v>3738.9737000000005</v>
      </c>
      <c r="CZ31">
        <f t="shared" si="43"/>
        <v>1990.8821</v>
      </c>
      <c r="DC31" t="s">
        <v>3</v>
      </c>
      <c r="DD31" t="s">
        <v>3</v>
      </c>
      <c r="DE31" t="s">
        <v>28</v>
      </c>
      <c r="DF31" t="s">
        <v>28</v>
      </c>
      <c r="DG31" t="s">
        <v>28</v>
      </c>
      <c r="DH31" t="s">
        <v>3</v>
      </c>
      <c r="DI31" t="s">
        <v>28</v>
      </c>
      <c r="DJ31" t="s">
        <v>28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1003</v>
      </c>
      <c r="DV31" t="s">
        <v>48</v>
      </c>
      <c r="DW31" t="s">
        <v>48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29</v>
      </c>
      <c r="EH31">
        <v>0</v>
      </c>
      <c r="EI31" t="s">
        <v>3</v>
      </c>
      <c r="EJ31">
        <v>2</v>
      </c>
      <c r="EK31">
        <v>317</v>
      </c>
      <c r="EL31" t="s">
        <v>30</v>
      </c>
      <c r="EM31" t="s">
        <v>31</v>
      </c>
      <c r="EO31" t="s">
        <v>32</v>
      </c>
      <c r="EQ31">
        <v>0</v>
      </c>
      <c r="ER31">
        <v>1306</v>
      </c>
      <c r="ES31">
        <v>81.2</v>
      </c>
      <c r="ET31">
        <v>523.13</v>
      </c>
      <c r="EU31">
        <v>121.38</v>
      </c>
      <c r="EV31">
        <v>701.67</v>
      </c>
      <c r="EW31">
        <v>55.6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1082002732</v>
      </c>
      <c r="GG31">
        <v>2</v>
      </c>
      <c r="GH31">
        <v>1</v>
      </c>
      <c r="GI31">
        <v>2</v>
      </c>
      <c r="GJ31">
        <v>0</v>
      </c>
      <c r="GK31">
        <f>ROUND(R31*(R12)/100,2)</f>
        <v>1318.91</v>
      </c>
      <c r="GL31">
        <f t="shared" si="45"/>
        <v>0</v>
      </c>
      <c r="GM31">
        <f t="shared" si="46"/>
        <v>13620.64</v>
      </c>
      <c r="GN31">
        <f t="shared" si="47"/>
        <v>0</v>
      </c>
      <c r="GO31">
        <f t="shared" si="48"/>
        <v>13620.64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50</v>
      </c>
      <c r="F32" t="s">
        <v>51</v>
      </c>
      <c r="G32" t="s">
        <v>52</v>
      </c>
      <c r="H32" t="s">
        <v>48</v>
      </c>
      <c r="I32">
        <f>ROUND(117/100,9)</f>
        <v>1.17</v>
      </c>
      <c r="J32">
        <v>0</v>
      </c>
      <c r="O32">
        <f t="shared" si="21"/>
        <v>16228.83</v>
      </c>
      <c r="P32">
        <f t="shared" si="22"/>
        <v>1124.02</v>
      </c>
      <c r="Q32">
        <f>(ROUND((ROUND((((ET32*1.2))*AV32*I32),2)*BB32),2)+ROUND((ROUND(((AE32-((EU32*1.2)))*AV32*I32),2)*BS32),2))</f>
        <v>9282.5300000000007</v>
      </c>
      <c r="R32">
        <f t="shared" si="23"/>
        <v>5892.27</v>
      </c>
      <c r="S32">
        <f t="shared" si="24"/>
        <v>5822.28</v>
      </c>
      <c r="T32">
        <f t="shared" si="25"/>
        <v>0</v>
      </c>
      <c r="U32">
        <f t="shared" si="26"/>
        <v>19.025463599999995</v>
      </c>
      <c r="V32">
        <f t="shared" si="27"/>
        <v>0</v>
      </c>
      <c r="W32">
        <f t="shared" si="28"/>
        <v>0</v>
      </c>
      <c r="X32">
        <f t="shared" si="29"/>
        <v>4483.16</v>
      </c>
      <c r="Y32">
        <f t="shared" si="30"/>
        <v>2387.13</v>
      </c>
      <c r="AA32">
        <v>23680976</v>
      </c>
      <c r="AB32">
        <f t="shared" si="31"/>
        <v>1349.9760000000001</v>
      </c>
      <c r="AC32">
        <f>ROUND((ES32),6)</f>
        <v>168</v>
      </c>
      <c r="AD32">
        <f>ROUND(((((ET32*1.2))-((EU32*1.2)))+AE32),6)</f>
        <v>994.06799999999998</v>
      </c>
      <c r="AE32">
        <f t="shared" si="53"/>
        <v>190.16399999999999</v>
      </c>
      <c r="AF32">
        <f t="shared" si="53"/>
        <v>187.90799999999999</v>
      </c>
      <c r="AG32">
        <f t="shared" si="32"/>
        <v>0</v>
      </c>
      <c r="AH32">
        <f t="shared" si="54"/>
        <v>15.239999999999998</v>
      </c>
      <c r="AI32">
        <f t="shared" si="54"/>
        <v>0</v>
      </c>
      <c r="AJ32">
        <f t="shared" si="33"/>
        <v>0</v>
      </c>
      <c r="AK32">
        <v>1152.98</v>
      </c>
      <c r="AL32">
        <v>168</v>
      </c>
      <c r="AM32">
        <v>828.39</v>
      </c>
      <c r="AN32">
        <v>158.47</v>
      </c>
      <c r="AO32">
        <v>156.59</v>
      </c>
      <c r="AP32">
        <v>0</v>
      </c>
      <c r="AQ32">
        <v>12.7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7.48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53</v>
      </c>
      <c r="BM32">
        <v>318</v>
      </c>
      <c r="BN32">
        <v>0</v>
      </c>
      <c r="BO32" t="s">
        <v>51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246</v>
      </c>
      <c r="CO32">
        <v>0</v>
      </c>
      <c r="CP32">
        <f t="shared" si="34"/>
        <v>16228.830000000002</v>
      </c>
      <c r="CQ32">
        <f t="shared" si="35"/>
        <v>960.72</v>
      </c>
      <c r="CR32">
        <f>(ROUND((ROUND((((ET32*1.2))*AV32*1),2)*BB32),2)+ROUND((ROUND(((AE32-((EU32*1.2)))*AV32*1),2)*BS32),2))</f>
        <v>7933.81</v>
      </c>
      <c r="CS32">
        <f t="shared" si="36"/>
        <v>5035.9799999999996</v>
      </c>
      <c r="CT32">
        <f t="shared" si="37"/>
        <v>4976.41</v>
      </c>
      <c r="CU32">
        <f t="shared" si="38"/>
        <v>0</v>
      </c>
      <c r="CV32">
        <f t="shared" si="39"/>
        <v>16.261079999999996</v>
      </c>
      <c r="CW32">
        <f t="shared" si="40"/>
        <v>0</v>
      </c>
      <c r="CX32">
        <f t="shared" si="41"/>
        <v>0</v>
      </c>
      <c r="CY32">
        <f t="shared" si="42"/>
        <v>4483.1556</v>
      </c>
      <c r="CZ32">
        <f t="shared" si="43"/>
        <v>2387.1347999999998</v>
      </c>
      <c r="DC32" t="s">
        <v>3</v>
      </c>
      <c r="DD32" t="s">
        <v>3</v>
      </c>
      <c r="DE32" t="s">
        <v>28</v>
      </c>
      <c r="DF32" t="s">
        <v>28</v>
      </c>
      <c r="DG32" t="s">
        <v>28</v>
      </c>
      <c r="DH32" t="s">
        <v>3</v>
      </c>
      <c r="DI32" t="s">
        <v>28</v>
      </c>
      <c r="DJ32" t="s">
        <v>28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48</v>
      </c>
      <c r="DW32" t="s">
        <v>48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29</v>
      </c>
      <c r="EH32">
        <v>0</v>
      </c>
      <c r="EI32" t="s">
        <v>3</v>
      </c>
      <c r="EJ32">
        <v>2</v>
      </c>
      <c r="EK32">
        <v>318</v>
      </c>
      <c r="EL32" t="s">
        <v>54</v>
      </c>
      <c r="EM32" t="s">
        <v>55</v>
      </c>
      <c r="EO32" t="s">
        <v>32</v>
      </c>
      <c r="EQ32">
        <v>0</v>
      </c>
      <c r="ER32">
        <v>1152.98</v>
      </c>
      <c r="ES32">
        <v>168</v>
      </c>
      <c r="ET32">
        <v>828.39</v>
      </c>
      <c r="EU32">
        <v>158.47</v>
      </c>
      <c r="EV32">
        <v>156.59</v>
      </c>
      <c r="EW32">
        <v>12.7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2039453883</v>
      </c>
      <c r="GG32">
        <v>2</v>
      </c>
      <c r="GH32">
        <v>1</v>
      </c>
      <c r="GI32">
        <v>2</v>
      </c>
      <c r="GJ32">
        <v>0</v>
      </c>
      <c r="GK32">
        <f>ROUND(R32*(R12)/100,2)</f>
        <v>9250.86</v>
      </c>
      <c r="GL32">
        <f t="shared" si="45"/>
        <v>0</v>
      </c>
      <c r="GM32">
        <f t="shared" si="46"/>
        <v>32349.98</v>
      </c>
      <c r="GN32">
        <f t="shared" si="47"/>
        <v>0</v>
      </c>
      <c r="GO32">
        <f t="shared" si="48"/>
        <v>32349.98</v>
      </c>
      <c r="GP32">
        <f t="shared" si="49"/>
        <v>0</v>
      </c>
      <c r="GR32">
        <v>0</v>
      </c>
      <c r="GS32">
        <v>3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56</v>
      </c>
      <c r="F33" t="s">
        <v>57</v>
      </c>
      <c r="G33" t="s">
        <v>58</v>
      </c>
      <c r="H33" t="s">
        <v>48</v>
      </c>
      <c r="I33">
        <f>ROUND(18/100,9)</f>
        <v>0.18</v>
      </c>
      <c r="J33">
        <v>0</v>
      </c>
      <c r="O33">
        <f t="shared" si="21"/>
        <v>1753.54</v>
      </c>
      <c r="P33">
        <f t="shared" si="22"/>
        <v>28.04</v>
      </c>
      <c r="Q33">
        <f>(ROUND((ROUND((((ET33*1.2))*AV33*I33),2)*BB33),2)+ROUND((ROUND(((AE33-((EU33*1.2)))*AV33*I33),2)*BS33),2))</f>
        <v>589.98</v>
      </c>
      <c r="R33">
        <f t="shared" si="23"/>
        <v>429.39</v>
      </c>
      <c r="S33">
        <f t="shared" si="24"/>
        <v>1135.52</v>
      </c>
      <c r="T33">
        <f t="shared" si="25"/>
        <v>0</v>
      </c>
      <c r="U33">
        <f t="shared" si="26"/>
        <v>3.7105991999999994</v>
      </c>
      <c r="V33">
        <f t="shared" si="27"/>
        <v>0</v>
      </c>
      <c r="W33">
        <f t="shared" si="28"/>
        <v>0</v>
      </c>
      <c r="X33">
        <f t="shared" si="29"/>
        <v>874.35</v>
      </c>
      <c r="Y33">
        <f t="shared" si="30"/>
        <v>465.56</v>
      </c>
      <c r="AA33">
        <v>23680976</v>
      </c>
      <c r="AB33">
        <f t="shared" si="31"/>
        <v>821.91800000000001</v>
      </c>
      <c r="AC33">
        <f>ROUND((ES33),6)</f>
        <v>27.23</v>
      </c>
      <c r="AD33">
        <f>ROUND(((((ET33*1.2))-((EU33*1.2)))+AE33),6)</f>
        <v>556.476</v>
      </c>
      <c r="AE33">
        <f t="shared" si="53"/>
        <v>90.096000000000004</v>
      </c>
      <c r="AF33">
        <f t="shared" si="53"/>
        <v>238.21199999999999</v>
      </c>
      <c r="AG33">
        <f t="shared" si="32"/>
        <v>0</v>
      </c>
      <c r="AH33">
        <f t="shared" si="54"/>
        <v>19.32</v>
      </c>
      <c r="AI33">
        <f t="shared" si="54"/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5.52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59</v>
      </c>
      <c r="BM33">
        <v>318</v>
      </c>
      <c r="BN33">
        <v>0</v>
      </c>
      <c r="BO33" t="s">
        <v>57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246</v>
      </c>
      <c r="CO33">
        <v>0</v>
      </c>
      <c r="CP33">
        <f t="shared" si="34"/>
        <v>1753.54</v>
      </c>
      <c r="CQ33">
        <f t="shared" si="35"/>
        <v>155.74</v>
      </c>
      <c r="CR33">
        <f>(ROUND((ROUND((((ET33*1.2))*AV33*1),2)*BB33),2)+ROUND((ROUND(((AE33-((EU33*1.2)))*AV33*1),2)*BS33),2))</f>
        <v>3277.56</v>
      </c>
      <c r="CS33">
        <f t="shared" si="36"/>
        <v>2385.9499999999998</v>
      </c>
      <c r="CT33">
        <f t="shared" si="37"/>
        <v>6308.5</v>
      </c>
      <c r="CU33">
        <f t="shared" si="38"/>
        <v>0</v>
      </c>
      <c r="CV33">
        <f t="shared" si="39"/>
        <v>20.614439999999998</v>
      </c>
      <c r="CW33">
        <f t="shared" si="40"/>
        <v>0</v>
      </c>
      <c r="CX33">
        <f t="shared" si="41"/>
        <v>0</v>
      </c>
      <c r="CY33">
        <f t="shared" si="42"/>
        <v>874.35040000000004</v>
      </c>
      <c r="CZ33">
        <f t="shared" si="43"/>
        <v>465.56319999999994</v>
      </c>
      <c r="DC33" t="s">
        <v>3</v>
      </c>
      <c r="DD33" t="s">
        <v>3</v>
      </c>
      <c r="DE33" t="s">
        <v>28</v>
      </c>
      <c r="DF33" t="s">
        <v>28</v>
      </c>
      <c r="DG33" t="s">
        <v>28</v>
      </c>
      <c r="DH33" t="s">
        <v>3</v>
      </c>
      <c r="DI33" t="s">
        <v>28</v>
      </c>
      <c r="DJ33" t="s">
        <v>28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48</v>
      </c>
      <c r="DW33" t="s">
        <v>48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29</v>
      </c>
      <c r="EH33">
        <v>0</v>
      </c>
      <c r="EI33" t="s">
        <v>3</v>
      </c>
      <c r="EJ33">
        <v>2</v>
      </c>
      <c r="EK33">
        <v>318</v>
      </c>
      <c r="EL33" t="s">
        <v>54</v>
      </c>
      <c r="EM33" t="s">
        <v>55</v>
      </c>
      <c r="EO33" t="s">
        <v>32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-1964763901</v>
      </c>
      <c r="GG33">
        <v>2</v>
      </c>
      <c r="GH33">
        <v>1</v>
      </c>
      <c r="GI33">
        <v>2</v>
      </c>
      <c r="GJ33">
        <v>0</v>
      </c>
      <c r="GK33">
        <f>ROUND(R33*(R12)/100,2)</f>
        <v>674.14</v>
      </c>
      <c r="GL33">
        <f t="shared" si="45"/>
        <v>0</v>
      </c>
      <c r="GM33">
        <f t="shared" si="46"/>
        <v>3767.59</v>
      </c>
      <c r="GN33">
        <f t="shared" si="47"/>
        <v>0</v>
      </c>
      <c r="GO33">
        <f t="shared" si="48"/>
        <v>3767.59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E34" t="s">
        <v>60</v>
      </c>
      <c r="F34" t="s">
        <v>57</v>
      </c>
      <c r="G34" t="s">
        <v>61</v>
      </c>
      <c r="H34" t="s">
        <v>48</v>
      </c>
      <c r="I34">
        <f>ROUND(18/100,9)</f>
        <v>0.18</v>
      </c>
      <c r="J34">
        <v>0</v>
      </c>
      <c r="O34">
        <f t="shared" si="21"/>
        <v>517.75</v>
      </c>
      <c r="P34">
        <f t="shared" si="22"/>
        <v>0</v>
      </c>
      <c r="Q34">
        <f>(ROUND((ROUND(((((ET34*1.2)*0.3))*AV34*I34),2)*BB34),2)+ROUND((ROUND(((AE34-(((EU34*1.2)*0.3)))*AV34*I34),2)*BS34),2))</f>
        <v>176.97</v>
      </c>
      <c r="R34">
        <f t="shared" si="23"/>
        <v>128.82</v>
      </c>
      <c r="S34">
        <f t="shared" si="24"/>
        <v>340.78</v>
      </c>
      <c r="T34">
        <f t="shared" si="25"/>
        <v>0</v>
      </c>
      <c r="U34">
        <f t="shared" si="26"/>
        <v>1.11317976</v>
      </c>
      <c r="V34">
        <f t="shared" si="27"/>
        <v>0</v>
      </c>
      <c r="W34">
        <f t="shared" si="28"/>
        <v>0</v>
      </c>
      <c r="X34">
        <f t="shared" si="29"/>
        <v>262.39999999999998</v>
      </c>
      <c r="Y34">
        <f t="shared" si="30"/>
        <v>139.72</v>
      </c>
      <c r="AA34">
        <v>23680976</v>
      </c>
      <c r="AB34">
        <f t="shared" si="31"/>
        <v>238.40639999999999</v>
      </c>
      <c r="AC34">
        <f>ROUND(((ES34*0)),6)</f>
        <v>0</v>
      </c>
      <c r="AD34">
        <f>ROUND((((((ET34*1.2)*0.3))-(((EU34*1.2)*0.3)))+AE34),6)</f>
        <v>166.94280000000001</v>
      </c>
      <c r="AE34">
        <f>ROUND((((EU34*1.2)*0.3)),6)</f>
        <v>27.0288</v>
      </c>
      <c r="AF34">
        <f>ROUND((((EV34*1.2)*0.3)),6)</f>
        <v>71.4636</v>
      </c>
      <c r="AG34">
        <f t="shared" si="32"/>
        <v>0</v>
      </c>
      <c r="AH34">
        <f>(((EW34*1.2)*0.3))</f>
        <v>5.7960000000000003</v>
      </c>
      <c r="AI34">
        <f>(((EX34*1.2)*0.3))</f>
        <v>0</v>
      </c>
      <c r="AJ34">
        <f t="shared" si="33"/>
        <v>0</v>
      </c>
      <c r="AK34">
        <v>689.47</v>
      </c>
      <c r="AL34">
        <v>27.23</v>
      </c>
      <c r="AM34">
        <v>463.73</v>
      </c>
      <c r="AN34">
        <v>75.08</v>
      </c>
      <c r="AO34">
        <v>198.51</v>
      </c>
      <c r="AP34">
        <v>0</v>
      </c>
      <c r="AQ34">
        <v>16.100000000000001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1.081</v>
      </c>
      <c r="AZ34">
        <v>1</v>
      </c>
      <c r="BA34">
        <v>24.82</v>
      </c>
      <c r="BB34">
        <v>5.52</v>
      </c>
      <c r="BC34">
        <v>5.29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59</v>
      </c>
      <c r="BM34">
        <v>318</v>
      </c>
      <c r="BN34">
        <v>0</v>
      </c>
      <c r="BO34" t="s">
        <v>57</v>
      </c>
      <c r="BP34">
        <v>1</v>
      </c>
      <c r="BQ34">
        <v>40</v>
      </c>
      <c r="BR34">
        <v>0</v>
      </c>
      <c r="BS34">
        <v>24.82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247</v>
      </c>
      <c r="CO34">
        <v>0</v>
      </c>
      <c r="CP34">
        <f t="shared" si="34"/>
        <v>517.75</v>
      </c>
      <c r="CQ34">
        <f t="shared" si="35"/>
        <v>0</v>
      </c>
      <c r="CR34">
        <f>(ROUND((ROUND(((((ET34*1.2)*0.3))*AV34*1),2)*BB34),2)+ROUND((ROUND(((AE34-(((EU34*1.2)*0.3)))*AV34*1),2)*BS34),2))</f>
        <v>983.28</v>
      </c>
      <c r="CS34">
        <f t="shared" si="36"/>
        <v>715.81</v>
      </c>
      <c r="CT34">
        <f t="shared" si="37"/>
        <v>1892.53</v>
      </c>
      <c r="CU34">
        <f t="shared" si="38"/>
        <v>0</v>
      </c>
      <c r="CV34">
        <f t="shared" si="39"/>
        <v>6.1843320000000004</v>
      </c>
      <c r="CW34">
        <f t="shared" si="40"/>
        <v>0</v>
      </c>
      <c r="CX34">
        <f t="shared" si="41"/>
        <v>0</v>
      </c>
      <c r="CY34">
        <f t="shared" si="42"/>
        <v>262.4006</v>
      </c>
      <c r="CZ34">
        <f t="shared" si="43"/>
        <v>139.71979999999999</v>
      </c>
      <c r="DC34" t="s">
        <v>3</v>
      </c>
      <c r="DD34" t="s">
        <v>42</v>
      </c>
      <c r="DE34" t="s">
        <v>43</v>
      </c>
      <c r="DF34" t="s">
        <v>43</v>
      </c>
      <c r="DG34" t="s">
        <v>43</v>
      </c>
      <c r="DH34" t="s">
        <v>3</v>
      </c>
      <c r="DI34" t="s">
        <v>43</v>
      </c>
      <c r="DJ34" t="s">
        <v>43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1003</v>
      </c>
      <c r="DV34" t="s">
        <v>48</v>
      </c>
      <c r="DW34" t="s">
        <v>48</v>
      </c>
      <c r="DX34">
        <v>100</v>
      </c>
      <c r="DZ34" t="s">
        <v>3</v>
      </c>
      <c r="EA34" t="s">
        <v>3</v>
      </c>
      <c r="EB34" t="s">
        <v>3</v>
      </c>
      <c r="EC34" t="s">
        <v>3</v>
      </c>
      <c r="EE34">
        <v>22827159</v>
      </c>
      <c r="EF34">
        <v>40</v>
      </c>
      <c r="EG34" t="s">
        <v>29</v>
      </c>
      <c r="EH34">
        <v>0</v>
      </c>
      <c r="EI34" t="s">
        <v>3</v>
      </c>
      <c r="EJ34">
        <v>2</v>
      </c>
      <c r="EK34">
        <v>318</v>
      </c>
      <c r="EL34" t="s">
        <v>54</v>
      </c>
      <c r="EM34" t="s">
        <v>55</v>
      </c>
      <c r="EO34" t="s">
        <v>44</v>
      </c>
      <c r="EQ34">
        <v>0</v>
      </c>
      <c r="ER34">
        <v>689.47</v>
      </c>
      <c r="ES34">
        <v>27.23</v>
      </c>
      <c r="ET34">
        <v>463.73</v>
      </c>
      <c r="EU34">
        <v>75.08</v>
      </c>
      <c r="EV34">
        <v>198.51</v>
      </c>
      <c r="EW34">
        <v>16.100000000000001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1374399018</v>
      </c>
      <c r="GG34">
        <v>2</v>
      </c>
      <c r="GH34">
        <v>1</v>
      </c>
      <c r="GI34">
        <v>2</v>
      </c>
      <c r="GJ34">
        <v>0</v>
      </c>
      <c r="GK34">
        <f>ROUND(R34*(R12)/100,2)</f>
        <v>202.25</v>
      </c>
      <c r="GL34">
        <f t="shared" si="45"/>
        <v>0</v>
      </c>
      <c r="GM34">
        <f t="shared" si="46"/>
        <v>1122.1199999999999</v>
      </c>
      <c r="GN34">
        <f t="shared" si="47"/>
        <v>0</v>
      </c>
      <c r="GO34">
        <f t="shared" si="48"/>
        <v>1122.1199999999999</v>
      </c>
      <c r="GP34">
        <f t="shared" si="49"/>
        <v>0</v>
      </c>
      <c r="GR34">
        <v>0</v>
      </c>
      <c r="GS34">
        <v>0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E35" t="s">
        <v>62</v>
      </c>
      <c r="F35" t="s">
        <v>63</v>
      </c>
      <c r="G35" t="s">
        <v>64</v>
      </c>
      <c r="H35" t="s">
        <v>48</v>
      </c>
      <c r="I35">
        <f>ROUND(36/100,9)</f>
        <v>0.36</v>
      </c>
      <c r="J35">
        <v>0</v>
      </c>
      <c r="O35">
        <f t="shared" si="21"/>
        <v>4796.5</v>
      </c>
      <c r="P35">
        <f t="shared" si="22"/>
        <v>57.77</v>
      </c>
      <c r="Q35">
        <f>(ROUND((ROUND((((ET35*1.2))*AV35*I35),2)*BB35),2)+ROUND((ROUND(((AE35-((EU35*1.2)))*AV35*I35),2)*BS35),2))</f>
        <v>1699.46</v>
      </c>
      <c r="R35">
        <f t="shared" si="23"/>
        <v>1221.5899999999999</v>
      </c>
      <c r="S35">
        <f t="shared" si="24"/>
        <v>3039.27</v>
      </c>
      <c r="T35">
        <f t="shared" si="25"/>
        <v>0</v>
      </c>
      <c r="U35">
        <f t="shared" si="26"/>
        <v>10.048579199999999</v>
      </c>
      <c r="V35">
        <f t="shared" si="27"/>
        <v>0</v>
      </c>
      <c r="W35">
        <f t="shared" si="28"/>
        <v>0</v>
      </c>
      <c r="X35">
        <f t="shared" si="29"/>
        <v>2340.2399999999998</v>
      </c>
      <c r="Y35">
        <f t="shared" si="30"/>
        <v>1246.0999999999999</v>
      </c>
      <c r="AA35">
        <v>23680976</v>
      </c>
      <c r="AB35">
        <f t="shared" si="31"/>
        <v>1133.6780000000001</v>
      </c>
      <c r="AC35">
        <f>ROUND((ES35),6)</f>
        <v>28.07</v>
      </c>
      <c r="AD35">
        <f>ROUND(((((ET35*1.2))-((EU35*1.2)))+AE35),6)</f>
        <v>783.06</v>
      </c>
      <c r="AE35">
        <f>ROUND(((EU35*1.2)),6)</f>
        <v>129.636</v>
      </c>
      <c r="AF35">
        <f>ROUND(((EV35*1.2)),6)</f>
        <v>322.548</v>
      </c>
      <c r="AG35">
        <f t="shared" si="32"/>
        <v>0</v>
      </c>
      <c r="AH35">
        <f>((EW35*1.2))</f>
        <v>26.16</v>
      </c>
      <c r="AI35">
        <f>((EX35*1.2))</f>
        <v>0</v>
      </c>
      <c r="AJ35">
        <f t="shared" si="33"/>
        <v>0</v>
      </c>
      <c r="AK35">
        <v>949.41</v>
      </c>
      <c r="AL35">
        <v>28.07</v>
      </c>
      <c r="AM35">
        <v>652.54999999999995</v>
      </c>
      <c r="AN35">
        <v>108.03</v>
      </c>
      <c r="AO35">
        <v>268.79000000000002</v>
      </c>
      <c r="AP35">
        <v>0</v>
      </c>
      <c r="AQ35">
        <v>21.8</v>
      </c>
      <c r="AR35">
        <v>0</v>
      </c>
      <c r="AS35">
        <v>0</v>
      </c>
      <c r="AT35">
        <v>77</v>
      </c>
      <c r="AU35">
        <v>41</v>
      </c>
      <c r="AV35">
        <v>1.0669999999999999</v>
      </c>
      <c r="AW35">
        <v>1.081</v>
      </c>
      <c r="AZ35">
        <v>1</v>
      </c>
      <c r="BA35">
        <v>24.53</v>
      </c>
      <c r="BB35">
        <v>5.65</v>
      </c>
      <c r="BC35">
        <v>5.29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65</v>
      </c>
      <c r="BM35">
        <v>318</v>
      </c>
      <c r="BN35">
        <v>0</v>
      </c>
      <c r="BO35" t="s">
        <v>63</v>
      </c>
      <c r="BP35">
        <v>1</v>
      </c>
      <c r="BQ35">
        <v>40</v>
      </c>
      <c r="BR35">
        <v>0</v>
      </c>
      <c r="BS35">
        <v>24.53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246</v>
      </c>
      <c r="CO35">
        <v>0</v>
      </c>
      <c r="CP35">
        <f t="shared" si="34"/>
        <v>4796.5</v>
      </c>
      <c r="CQ35">
        <f t="shared" si="35"/>
        <v>160.5</v>
      </c>
      <c r="CR35">
        <f>(ROUND((ROUND((((ET35*1.2))*AV35*1),2)*BB35),2)+ROUND((ROUND(((AE35-((EU35*1.2)))*AV35*1),2)*BS35),2))</f>
        <v>4720.74</v>
      </c>
      <c r="CS35">
        <f t="shared" si="36"/>
        <v>3392.99</v>
      </c>
      <c r="CT35">
        <f t="shared" si="37"/>
        <v>8442.24</v>
      </c>
      <c r="CU35">
        <f t="shared" si="38"/>
        <v>0</v>
      </c>
      <c r="CV35">
        <f t="shared" si="39"/>
        <v>27.91272</v>
      </c>
      <c r="CW35">
        <f t="shared" si="40"/>
        <v>0</v>
      </c>
      <c r="CX35">
        <f t="shared" si="41"/>
        <v>0</v>
      </c>
      <c r="CY35">
        <f t="shared" si="42"/>
        <v>2340.2379000000001</v>
      </c>
      <c r="CZ35">
        <f t="shared" si="43"/>
        <v>1246.1007</v>
      </c>
      <c r="DC35" t="s">
        <v>3</v>
      </c>
      <c r="DD35" t="s">
        <v>3</v>
      </c>
      <c r="DE35" t="s">
        <v>28</v>
      </c>
      <c r="DF35" t="s">
        <v>28</v>
      </c>
      <c r="DG35" t="s">
        <v>28</v>
      </c>
      <c r="DH35" t="s">
        <v>3</v>
      </c>
      <c r="DI35" t="s">
        <v>28</v>
      </c>
      <c r="DJ35" t="s">
        <v>28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1.0669999999999999</v>
      </c>
      <c r="DQ35">
        <v>1.081</v>
      </c>
      <c r="DU35">
        <v>1003</v>
      </c>
      <c r="DV35" t="s">
        <v>48</v>
      </c>
      <c r="DW35" t="s">
        <v>48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22827159</v>
      </c>
      <c r="EF35">
        <v>40</v>
      </c>
      <c r="EG35" t="s">
        <v>29</v>
      </c>
      <c r="EH35">
        <v>0</v>
      </c>
      <c r="EI35" t="s">
        <v>3</v>
      </c>
      <c r="EJ35">
        <v>2</v>
      </c>
      <c r="EK35">
        <v>318</v>
      </c>
      <c r="EL35" t="s">
        <v>54</v>
      </c>
      <c r="EM35" t="s">
        <v>55</v>
      </c>
      <c r="EO35" t="s">
        <v>32</v>
      </c>
      <c r="EQ35">
        <v>0</v>
      </c>
      <c r="ER35">
        <v>949.41</v>
      </c>
      <c r="ES35">
        <v>28.07</v>
      </c>
      <c r="ET35">
        <v>652.54999999999995</v>
      </c>
      <c r="EU35">
        <v>108.03</v>
      </c>
      <c r="EV35">
        <v>268.79000000000002</v>
      </c>
      <c r="EW35">
        <v>21.8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-216061205</v>
      </c>
      <c r="GG35">
        <v>2</v>
      </c>
      <c r="GH35">
        <v>1</v>
      </c>
      <c r="GI35">
        <v>2</v>
      </c>
      <c r="GJ35">
        <v>0</v>
      </c>
      <c r="GK35">
        <f>ROUND(R35*(R12)/100,2)</f>
        <v>1917.9</v>
      </c>
      <c r="GL35">
        <f t="shared" si="45"/>
        <v>0</v>
      </c>
      <c r="GM35">
        <f t="shared" si="46"/>
        <v>10300.74</v>
      </c>
      <c r="GN35">
        <f t="shared" si="47"/>
        <v>0</v>
      </c>
      <c r="GO35">
        <f t="shared" si="48"/>
        <v>10300.74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E36" t="s">
        <v>66</v>
      </c>
      <c r="F36" t="s">
        <v>63</v>
      </c>
      <c r="G36" t="s">
        <v>67</v>
      </c>
      <c r="H36" t="s">
        <v>48</v>
      </c>
      <c r="I36">
        <f>ROUND(36/100,9)</f>
        <v>0.36</v>
      </c>
      <c r="J36">
        <v>0</v>
      </c>
      <c r="O36">
        <f t="shared" si="21"/>
        <v>1421.64</v>
      </c>
      <c r="P36">
        <f t="shared" si="22"/>
        <v>0</v>
      </c>
      <c r="Q36">
        <f>(ROUND((ROUND(((((ET36*0.3)*1.2))*AV36*I36),2)*BB36),2)+ROUND((ROUND(((AE36-(((EU36*0.3)*1.2)))*AV36*I36),2)*BS36),2))</f>
        <v>509.86</v>
      </c>
      <c r="R36">
        <f t="shared" si="23"/>
        <v>366.48</v>
      </c>
      <c r="S36">
        <f t="shared" si="24"/>
        <v>911.78</v>
      </c>
      <c r="T36">
        <f t="shared" si="25"/>
        <v>0</v>
      </c>
      <c r="U36">
        <f t="shared" si="26"/>
        <v>3.0145737599999998</v>
      </c>
      <c r="V36">
        <f t="shared" si="27"/>
        <v>0</v>
      </c>
      <c r="W36">
        <f t="shared" si="28"/>
        <v>0</v>
      </c>
      <c r="X36">
        <f t="shared" si="29"/>
        <v>702.07</v>
      </c>
      <c r="Y36">
        <f t="shared" si="30"/>
        <v>373.83</v>
      </c>
      <c r="AA36">
        <v>23680976</v>
      </c>
      <c r="AB36">
        <f t="shared" si="31"/>
        <v>331.68239999999997</v>
      </c>
      <c r="AC36">
        <f>ROUND(((ES36*0)),6)</f>
        <v>0</v>
      </c>
      <c r="AD36">
        <f>ROUND((((((ET36*0.3)*1.2))-(((EU36*0.3)*1.2)))+AE36),6)</f>
        <v>234.91800000000001</v>
      </c>
      <c r="AE36">
        <f>ROUND((((EU36*0.3)*1.2)),6)</f>
        <v>38.890799999999999</v>
      </c>
      <c r="AF36">
        <f>ROUND((((EV36*0.3)*1.2)),6)</f>
        <v>96.764399999999995</v>
      </c>
      <c r="AG36">
        <f t="shared" si="32"/>
        <v>0</v>
      </c>
      <c r="AH36">
        <f>(((EW36*0.3)*1.2))</f>
        <v>7.8479999999999999</v>
      </c>
      <c r="AI36">
        <f>(((EX36*0.3)*1.2))</f>
        <v>0</v>
      </c>
      <c r="AJ36">
        <f t="shared" si="33"/>
        <v>0</v>
      </c>
      <c r="AK36">
        <v>949.41</v>
      </c>
      <c r="AL36">
        <v>28.07</v>
      </c>
      <c r="AM36">
        <v>652.54999999999995</v>
      </c>
      <c r="AN36">
        <v>108.03</v>
      </c>
      <c r="AO36">
        <v>268.79000000000002</v>
      </c>
      <c r="AP36">
        <v>0</v>
      </c>
      <c r="AQ36">
        <v>21.8</v>
      </c>
      <c r="AR36">
        <v>0</v>
      </c>
      <c r="AS36">
        <v>0</v>
      </c>
      <c r="AT36">
        <v>77</v>
      </c>
      <c r="AU36">
        <v>41</v>
      </c>
      <c r="AV36">
        <v>1.0669999999999999</v>
      </c>
      <c r="AW36">
        <v>1.081</v>
      </c>
      <c r="AZ36">
        <v>1</v>
      </c>
      <c r="BA36">
        <v>24.53</v>
      </c>
      <c r="BB36">
        <v>5.65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65</v>
      </c>
      <c r="BM36">
        <v>318</v>
      </c>
      <c r="BN36">
        <v>0</v>
      </c>
      <c r="BO36" t="s">
        <v>63</v>
      </c>
      <c r="BP36">
        <v>1</v>
      </c>
      <c r="BQ36">
        <v>40</v>
      </c>
      <c r="BR36">
        <v>0</v>
      </c>
      <c r="BS36">
        <v>24.53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248</v>
      </c>
      <c r="CO36">
        <v>0</v>
      </c>
      <c r="CP36">
        <f t="shared" si="34"/>
        <v>1421.6399999999999</v>
      </c>
      <c r="CQ36">
        <f t="shared" si="35"/>
        <v>0</v>
      </c>
      <c r="CR36">
        <f>(ROUND((ROUND(((((ET36*0.3)*1.2))*AV36*1),2)*BB36),2)+ROUND((ROUND(((AE36-(((EU36*0.3)*1.2)))*AV36*1),2)*BS36),2))</f>
        <v>1416.23</v>
      </c>
      <c r="CS36">
        <f t="shared" si="36"/>
        <v>1018</v>
      </c>
      <c r="CT36">
        <f t="shared" si="37"/>
        <v>2532.7199999999998</v>
      </c>
      <c r="CU36">
        <f t="shared" si="38"/>
        <v>0</v>
      </c>
      <c r="CV36">
        <f t="shared" si="39"/>
        <v>8.3738159999999997</v>
      </c>
      <c r="CW36">
        <f t="shared" si="40"/>
        <v>0</v>
      </c>
      <c r="CX36">
        <f t="shared" si="41"/>
        <v>0</v>
      </c>
      <c r="CY36">
        <f t="shared" si="42"/>
        <v>702.07060000000001</v>
      </c>
      <c r="CZ36">
        <f t="shared" si="43"/>
        <v>373.82979999999998</v>
      </c>
      <c r="DC36" t="s">
        <v>3</v>
      </c>
      <c r="DD36" t="s">
        <v>42</v>
      </c>
      <c r="DE36" t="s">
        <v>68</v>
      </c>
      <c r="DF36" t="s">
        <v>68</v>
      </c>
      <c r="DG36" t="s">
        <v>68</v>
      </c>
      <c r="DH36" t="s">
        <v>3</v>
      </c>
      <c r="DI36" t="s">
        <v>68</v>
      </c>
      <c r="DJ36" t="s">
        <v>68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1.0669999999999999</v>
      </c>
      <c r="DQ36">
        <v>1.081</v>
      </c>
      <c r="DU36">
        <v>1003</v>
      </c>
      <c r="DV36" t="s">
        <v>48</v>
      </c>
      <c r="DW36" t="s">
        <v>48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22827159</v>
      </c>
      <c r="EF36">
        <v>40</v>
      </c>
      <c r="EG36" t="s">
        <v>29</v>
      </c>
      <c r="EH36">
        <v>0</v>
      </c>
      <c r="EI36" t="s">
        <v>3</v>
      </c>
      <c r="EJ36">
        <v>2</v>
      </c>
      <c r="EK36">
        <v>318</v>
      </c>
      <c r="EL36" t="s">
        <v>54</v>
      </c>
      <c r="EM36" t="s">
        <v>55</v>
      </c>
      <c r="EO36" t="s">
        <v>69</v>
      </c>
      <c r="EQ36">
        <v>0</v>
      </c>
      <c r="ER36">
        <v>949.41</v>
      </c>
      <c r="ES36">
        <v>28.07</v>
      </c>
      <c r="ET36">
        <v>652.54999999999995</v>
      </c>
      <c r="EU36">
        <v>108.03</v>
      </c>
      <c r="EV36">
        <v>268.79000000000002</v>
      </c>
      <c r="EW36">
        <v>21.8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439597826</v>
      </c>
      <c r="GG36">
        <v>2</v>
      </c>
      <c r="GH36">
        <v>1</v>
      </c>
      <c r="GI36">
        <v>2</v>
      </c>
      <c r="GJ36">
        <v>0</v>
      </c>
      <c r="GK36">
        <f>ROUND(R36*(R12)/100,2)</f>
        <v>575.37</v>
      </c>
      <c r="GL36">
        <f t="shared" si="45"/>
        <v>0</v>
      </c>
      <c r="GM36">
        <f t="shared" si="46"/>
        <v>3072.91</v>
      </c>
      <c r="GN36">
        <f t="shared" si="47"/>
        <v>0</v>
      </c>
      <c r="GO36">
        <f t="shared" si="48"/>
        <v>3072.91</v>
      </c>
      <c r="GP36">
        <f t="shared" si="49"/>
        <v>0</v>
      </c>
      <c r="GR36">
        <v>0</v>
      </c>
      <c r="GS36">
        <v>3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E37" t="s">
        <v>70</v>
      </c>
      <c r="F37" t="s">
        <v>71</v>
      </c>
      <c r="G37" t="s">
        <v>72</v>
      </c>
      <c r="H37" t="s">
        <v>73</v>
      </c>
      <c r="I37">
        <f>ROUND(43/100,9)</f>
        <v>0.43</v>
      </c>
      <c r="J37">
        <v>0</v>
      </c>
      <c r="O37">
        <f t="shared" si="21"/>
        <v>1984.9</v>
      </c>
      <c r="P37">
        <f t="shared" si="22"/>
        <v>3.12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1981.78</v>
      </c>
      <c r="T37">
        <f t="shared" si="25"/>
        <v>0</v>
      </c>
      <c r="U37">
        <f t="shared" si="26"/>
        <v>6.5518067999999996</v>
      </c>
      <c r="V37">
        <f t="shared" si="27"/>
        <v>0</v>
      </c>
      <c r="W37">
        <f t="shared" si="28"/>
        <v>0</v>
      </c>
      <c r="X37">
        <f t="shared" si="29"/>
        <v>1525.97</v>
      </c>
      <c r="Y37">
        <f t="shared" si="30"/>
        <v>812.53</v>
      </c>
      <c r="AA37">
        <v>23680976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ref="AE37:AF39" si="55">ROUND(((EU37*1.2)),6)</f>
        <v>0</v>
      </c>
      <c r="AF37">
        <f t="shared" si="55"/>
        <v>176.07599999999999</v>
      </c>
      <c r="AG37">
        <f t="shared" si="32"/>
        <v>0</v>
      </c>
      <c r="AH37">
        <f t="shared" ref="AH37:AI39" si="56">((EW37*1.2))</f>
        <v>14.28</v>
      </c>
      <c r="AI37">
        <f t="shared" si="56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24.53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74</v>
      </c>
      <c r="BM37">
        <v>318</v>
      </c>
      <c r="BN37">
        <v>0</v>
      </c>
      <c r="BO37" t="s">
        <v>71</v>
      </c>
      <c r="BP37">
        <v>1</v>
      </c>
      <c r="BQ37">
        <v>40</v>
      </c>
      <c r="BR37">
        <v>0</v>
      </c>
      <c r="BS37">
        <v>24.53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246</v>
      </c>
      <c r="CO37">
        <v>0</v>
      </c>
      <c r="CP37">
        <f t="shared" si="34"/>
        <v>1984.8999999999999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4608.45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1525.9706000000001</v>
      </c>
      <c r="CZ37">
        <f t="shared" si="43"/>
        <v>812.52979999999991</v>
      </c>
      <c r="DC37" t="s">
        <v>3</v>
      </c>
      <c r="DD37" t="s">
        <v>3</v>
      </c>
      <c r="DE37" t="s">
        <v>28</v>
      </c>
      <c r="DF37" t="s">
        <v>28</v>
      </c>
      <c r="DG37" t="s">
        <v>28</v>
      </c>
      <c r="DH37" t="s">
        <v>3</v>
      </c>
      <c r="DI37" t="s">
        <v>28</v>
      </c>
      <c r="DJ37" t="s">
        <v>28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73</v>
      </c>
      <c r="DW37" t="s">
        <v>73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29</v>
      </c>
      <c r="EH37">
        <v>0</v>
      </c>
      <c r="EI37" t="s">
        <v>3</v>
      </c>
      <c r="EJ37">
        <v>2</v>
      </c>
      <c r="EK37">
        <v>318</v>
      </c>
      <c r="EL37" t="s">
        <v>54</v>
      </c>
      <c r="EM37" t="s">
        <v>55</v>
      </c>
      <c r="EO37" t="s">
        <v>32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4323.3999999999996</v>
      </c>
      <c r="GN37">
        <f t="shared" si="47"/>
        <v>0</v>
      </c>
      <c r="GO37">
        <f t="shared" si="48"/>
        <v>4323.3999999999996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C38">
        <f>ROW(SmtRes!A1)</f>
        <v>1</v>
      </c>
      <c r="D38">
        <f>ROW(EtalonRes!A1)</f>
        <v>1</v>
      </c>
      <c r="E38" t="s">
        <v>75</v>
      </c>
      <c r="F38" t="s">
        <v>76</v>
      </c>
      <c r="G38" t="s">
        <v>77</v>
      </c>
      <c r="H38" t="s">
        <v>36</v>
      </c>
      <c r="I38">
        <v>8</v>
      </c>
      <c r="J38">
        <v>0</v>
      </c>
      <c r="O38">
        <f t="shared" si="21"/>
        <v>9843.0300000000007</v>
      </c>
      <c r="P38">
        <f t="shared" si="22"/>
        <v>481.2</v>
      </c>
      <c r="Q38">
        <f>(ROUND((ROUND((((ET38*1.2))*AV38*I38),2)*BB38),2)+ROUND((ROUND(((AE38-((EU38*1.2)))*AV38*I38),2)*BS38),2))</f>
        <v>95.03</v>
      </c>
      <c r="R38">
        <f t="shared" si="23"/>
        <v>43.19</v>
      </c>
      <c r="S38">
        <f t="shared" si="24"/>
        <v>9266.7999999999993</v>
      </c>
      <c r="T38">
        <f t="shared" si="25"/>
        <v>0</v>
      </c>
      <c r="U38">
        <f t="shared" si="26"/>
        <v>25.710431999999994</v>
      </c>
      <c r="V38">
        <f t="shared" si="27"/>
        <v>0</v>
      </c>
      <c r="W38">
        <f t="shared" si="28"/>
        <v>0</v>
      </c>
      <c r="X38">
        <f t="shared" si="29"/>
        <v>7135.44</v>
      </c>
      <c r="Y38">
        <f t="shared" si="30"/>
        <v>3799.39</v>
      </c>
      <c r="AA38">
        <v>23680976</v>
      </c>
      <c r="AB38">
        <f t="shared" si="31"/>
        <v>52.686</v>
      </c>
      <c r="AC38">
        <f>ROUND((ES38),6)</f>
        <v>7.53</v>
      </c>
      <c r="AD38">
        <f>ROUND(((((ET38*1.2))-((EU38*1.2)))+AE38),6)</f>
        <v>1.4159999999999999</v>
      </c>
      <c r="AE38">
        <f t="shared" si="55"/>
        <v>0.20399999999999999</v>
      </c>
      <c r="AF38">
        <f t="shared" si="55"/>
        <v>43.74</v>
      </c>
      <c r="AG38">
        <f t="shared" si="32"/>
        <v>0</v>
      </c>
      <c r="AH38">
        <f t="shared" si="56"/>
        <v>3.0119999999999996</v>
      </c>
      <c r="AI38">
        <f t="shared" si="56"/>
        <v>0</v>
      </c>
      <c r="AJ38">
        <f t="shared" si="33"/>
        <v>0</v>
      </c>
      <c r="AK38">
        <v>45.16</v>
      </c>
      <c r="AL38">
        <v>7.53</v>
      </c>
      <c r="AM38">
        <v>1.18</v>
      </c>
      <c r="AN38">
        <v>0.17</v>
      </c>
      <c r="AO38">
        <v>36.450000000000003</v>
      </c>
      <c r="AP38">
        <v>0</v>
      </c>
      <c r="AQ38">
        <v>2.5099999999999998</v>
      </c>
      <c r="AR38">
        <v>0</v>
      </c>
      <c r="AS38">
        <v>0</v>
      </c>
      <c r="AT38">
        <v>77</v>
      </c>
      <c r="AU38">
        <v>41</v>
      </c>
      <c r="AV38">
        <v>1.0669999999999999</v>
      </c>
      <c r="AW38">
        <v>1.028</v>
      </c>
      <c r="AZ38">
        <v>1</v>
      </c>
      <c r="BA38">
        <v>24.82</v>
      </c>
      <c r="BB38">
        <v>7.86</v>
      </c>
      <c r="BC38">
        <v>7.77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78</v>
      </c>
      <c r="BM38">
        <v>1608</v>
      </c>
      <c r="BN38">
        <v>0</v>
      </c>
      <c r="BO38" t="s">
        <v>76</v>
      </c>
      <c r="BP38">
        <v>1</v>
      </c>
      <c r="BQ38">
        <v>40</v>
      </c>
      <c r="BR38">
        <v>0</v>
      </c>
      <c r="BS38">
        <v>24.82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77</v>
      </c>
      <c r="CA38">
        <v>41</v>
      </c>
      <c r="CE38">
        <v>30</v>
      </c>
      <c r="CF38">
        <v>0</v>
      </c>
      <c r="CG38">
        <v>0</v>
      </c>
      <c r="CM38">
        <v>0</v>
      </c>
      <c r="CN38" t="s">
        <v>246</v>
      </c>
      <c r="CO38">
        <v>0</v>
      </c>
      <c r="CP38">
        <f t="shared" si="34"/>
        <v>9843.0299999999988</v>
      </c>
      <c r="CQ38">
        <f t="shared" si="35"/>
        <v>60.14</v>
      </c>
      <c r="CR38">
        <f>(ROUND((ROUND((((ET38*1.2))*AV38*1),2)*BB38),2)+ROUND((ROUND(((AE38-((EU38*1.2)))*AV38*1),2)*BS38),2))</f>
        <v>11.87</v>
      </c>
      <c r="CS38">
        <f t="shared" si="36"/>
        <v>5.46</v>
      </c>
      <c r="CT38">
        <f t="shared" si="37"/>
        <v>1158.3499999999999</v>
      </c>
      <c r="CU38">
        <f t="shared" si="38"/>
        <v>0</v>
      </c>
      <c r="CV38">
        <f t="shared" si="39"/>
        <v>3.2138039999999992</v>
      </c>
      <c r="CW38">
        <f t="shared" si="40"/>
        <v>0</v>
      </c>
      <c r="CX38">
        <f t="shared" si="41"/>
        <v>0</v>
      </c>
      <c r="CY38">
        <f t="shared" si="42"/>
        <v>7135.4359999999997</v>
      </c>
      <c r="CZ38">
        <f t="shared" si="43"/>
        <v>3799.3879999999995</v>
      </c>
      <c r="DC38" t="s">
        <v>3</v>
      </c>
      <c r="DD38" t="s">
        <v>3</v>
      </c>
      <c r="DE38" t="s">
        <v>28</v>
      </c>
      <c r="DF38" t="s">
        <v>28</v>
      </c>
      <c r="DG38" t="s">
        <v>28</v>
      </c>
      <c r="DH38" t="s">
        <v>3</v>
      </c>
      <c r="DI38" t="s">
        <v>28</v>
      </c>
      <c r="DJ38" t="s">
        <v>28</v>
      </c>
      <c r="DK38" t="s">
        <v>3</v>
      </c>
      <c r="DL38" t="s">
        <v>3</v>
      </c>
      <c r="DM38" t="s">
        <v>3</v>
      </c>
      <c r="DN38">
        <v>114</v>
      </c>
      <c r="DO38">
        <v>67</v>
      </c>
      <c r="DP38">
        <v>1.0669999999999999</v>
      </c>
      <c r="DQ38">
        <v>1.081</v>
      </c>
      <c r="DU38">
        <v>1010</v>
      </c>
      <c r="DV38" t="s">
        <v>36</v>
      </c>
      <c r="DW38" t="s">
        <v>36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22828449</v>
      </c>
      <c r="EF38">
        <v>40</v>
      </c>
      <c r="EG38" t="s">
        <v>29</v>
      </c>
      <c r="EH38">
        <v>0</v>
      </c>
      <c r="EI38" t="s">
        <v>3</v>
      </c>
      <c r="EJ38">
        <v>2</v>
      </c>
      <c r="EK38">
        <v>1608</v>
      </c>
      <c r="EL38" t="s">
        <v>79</v>
      </c>
      <c r="EM38" t="s">
        <v>80</v>
      </c>
      <c r="EO38" t="s">
        <v>32</v>
      </c>
      <c r="EQ38">
        <v>0</v>
      </c>
      <c r="ER38">
        <v>45.16</v>
      </c>
      <c r="ES38">
        <v>7.53</v>
      </c>
      <c r="ET38">
        <v>1.18</v>
      </c>
      <c r="EU38">
        <v>0.17</v>
      </c>
      <c r="EV38">
        <v>36.450000000000003</v>
      </c>
      <c r="EW38">
        <v>2.5099999999999998</v>
      </c>
      <c r="EX38">
        <v>0</v>
      </c>
      <c r="EY38">
        <v>0</v>
      </c>
      <c r="FQ38">
        <v>0</v>
      </c>
      <c r="FR38">
        <f t="shared" si="44"/>
        <v>0</v>
      </c>
      <c r="FS38">
        <v>0</v>
      </c>
      <c r="FX38">
        <v>114</v>
      </c>
      <c r="FY38">
        <v>67</v>
      </c>
      <c r="GA38" t="s">
        <v>3</v>
      </c>
      <c r="GD38">
        <v>0</v>
      </c>
      <c r="GF38">
        <v>493549640</v>
      </c>
      <c r="GG38">
        <v>2</v>
      </c>
      <c r="GH38">
        <v>1</v>
      </c>
      <c r="GI38">
        <v>2</v>
      </c>
      <c r="GJ38">
        <v>0</v>
      </c>
      <c r="GK38">
        <f>ROUND(R38*(R12)/100,2)</f>
        <v>67.81</v>
      </c>
      <c r="GL38">
        <f t="shared" si="45"/>
        <v>0</v>
      </c>
      <c r="GM38">
        <f t="shared" si="46"/>
        <v>20845.669999999998</v>
      </c>
      <c r="GN38">
        <f t="shared" si="47"/>
        <v>0</v>
      </c>
      <c r="GO38">
        <f t="shared" si="48"/>
        <v>20845.669999999998</v>
      </c>
      <c r="GP38">
        <f t="shared" si="49"/>
        <v>0</v>
      </c>
      <c r="GR38">
        <v>0</v>
      </c>
      <c r="GS38">
        <v>3</v>
      </c>
      <c r="GT38">
        <v>0</v>
      </c>
      <c r="GU38" t="s">
        <v>3</v>
      </c>
      <c r="GV38">
        <f t="shared" si="50"/>
        <v>0</v>
      </c>
      <c r="GW38">
        <v>1</v>
      </c>
      <c r="GX38">
        <f t="shared" si="51"/>
        <v>0</v>
      </c>
      <c r="HA38">
        <v>0</v>
      </c>
      <c r="HB38">
        <v>0</v>
      </c>
      <c r="HC38">
        <f t="shared" si="52"/>
        <v>0</v>
      </c>
      <c r="HE38" t="s">
        <v>3</v>
      </c>
      <c r="HF38" t="s">
        <v>3</v>
      </c>
      <c r="IK38">
        <v>0</v>
      </c>
    </row>
    <row r="39" spans="1:245" x14ac:dyDescent="0.2">
      <c r="A39">
        <v>17</v>
      </c>
      <c r="B39">
        <v>1</v>
      </c>
      <c r="E39" t="s">
        <v>81</v>
      </c>
      <c r="F39" t="s">
        <v>82</v>
      </c>
      <c r="G39" t="s">
        <v>83</v>
      </c>
      <c r="H39" t="s">
        <v>36</v>
      </c>
      <c r="I39">
        <v>3</v>
      </c>
      <c r="J39">
        <v>0</v>
      </c>
      <c r="O39">
        <f t="shared" si="21"/>
        <v>12628.75</v>
      </c>
      <c r="P39">
        <f t="shared" si="22"/>
        <v>517.57000000000005</v>
      </c>
      <c r="Q39">
        <f>(ROUND((ROUND((((ET39*1.2))*AV39*I39),2)*BB39),2)+ROUND((ROUND(((AE39-((EU39*1.2)))*AV39*I39),2)*BS39),2))</f>
        <v>28.68</v>
      </c>
      <c r="R39">
        <f t="shared" si="23"/>
        <v>18.89</v>
      </c>
      <c r="S39">
        <f t="shared" si="24"/>
        <v>12082.5</v>
      </c>
      <c r="T39">
        <f t="shared" si="25"/>
        <v>0</v>
      </c>
      <c r="U39">
        <f t="shared" si="26"/>
        <v>39.948480000000004</v>
      </c>
      <c r="V39">
        <f t="shared" si="27"/>
        <v>0</v>
      </c>
      <c r="W39">
        <f t="shared" si="28"/>
        <v>0</v>
      </c>
      <c r="X39">
        <f t="shared" si="29"/>
        <v>9303.5300000000007</v>
      </c>
      <c r="Y39">
        <f t="shared" si="30"/>
        <v>4953.83</v>
      </c>
      <c r="AA39">
        <v>23680976</v>
      </c>
      <c r="AB39">
        <f t="shared" si="31"/>
        <v>185.066</v>
      </c>
      <c r="AC39">
        <f>ROUND((ES39),6)</f>
        <v>30.17</v>
      </c>
      <c r="AD39">
        <f>ROUND(((((ET39*1.2))-((EU39*1.2)))+AE39),6)</f>
        <v>1.02</v>
      </c>
      <c r="AE39">
        <f t="shared" si="55"/>
        <v>0.24</v>
      </c>
      <c r="AF39">
        <f t="shared" si="55"/>
        <v>153.876</v>
      </c>
      <c r="AG39">
        <f t="shared" si="32"/>
        <v>0</v>
      </c>
      <c r="AH39">
        <f t="shared" si="56"/>
        <v>12.48</v>
      </c>
      <c r="AI39">
        <f t="shared" si="56"/>
        <v>0</v>
      </c>
      <c r="AJ39">
        <f t="shared" si="33"/>
        <v>0</v>
      </c>
      <c r="AK39">
        <v>159.25</v>
      </c>
      <c r="AL39">
        <v>30.17</v>
      </c>
      <c r="AM39">
        <v>0.85</v>
      </c>
      <c r="AN39">
        <v>0.2</v>
      </c>
      <c r="AO39">
        <v>128.22999999999999</v>
      </c>
      <c r="AP39">
        <v>0</v>
      </c>
      <c r="AQ39">
        <v>10.4</v>
      </c>
      <c r="AR39">
        <v>0</v>
      </c>
      <c r="AS39">
        <v>0</v>
      </c>
      <c r="AT39">
        <v>77</v>
      </c>
      <c r="AU39">
        <v>41</v>
      </c>
      <c r="AV39">
        <v>1.0669999999999999</v>
      </c>
      <c r="AW39">
        <v>1.081</v>
      </c>
      <c r="AZ39">
        <v>1</v>
      </c>
      <c r="BA39">
        <v>24.53</v>
      </c>
      <c r="BB39">
        <v>8.77</v>
      </c>
      <c r="BC39">
        <v>5.29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84</v>
      </c>
      <c r="BM39">
        <v>323</v>
      </c>
      <c r="BN39">
        <v>0</v>
      </c>
      <c r="BO39" t="s">
        <v>82</v>
      </c>
      <c r="BP39">
        <v>1</v>
      </c>
      <c r="BQ39">
        <v>40</v>
      </c>
      <c r="BR39">
        <v>0</v>
      </c>
      <c r="BS39">
        <v>24.53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77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246</v>
      </c>
      <c r="CO39">
        <v>0</v>
      </c>
      <c r="CP39">
        <f t="shared" si="34"/>
        <v>12628.75</v>
      </c>
      <c r="CQ39">
        <f t="shared" si="35"/>
        <v>172.51</v>
      </c>
      <c r="CR39">
        <f>(ROUND((ROUND((((ET39*1.2))*AV39*1),2)*BB39),2)+ROUND((ROUND(((AE39-((EU39*1.2)))*AV39*1),2)*BS39),2))</f>
        <v>9.56</v>
      </c>
      <c r="CS39">
        <f t="shared" si="36"/>
        <v>6.38</v>
      </c>
      <c r="CT39">
        <f t="shared" si="37"/>
        <v>4027.58</v>
      </c>
      <c r="CU39">
        <f t="shared" si="38"/>
        <v>0</v>
      </c>
      <c r="CV39">
        <f t="shared" si="39"/>
        <v>13.31616</v>
      </c>
      <c r="CW39">
        <f t="shared" si="40"/>
        <v>0</v>
      </c>
      <c r="CX39">
        <f t="shared" si="41"/>
        <v>0</v>
      </c>
      <c r="CY39">
        <f t="shared" si="42"/>
        <v>9303.5249999999996</v>
      </c>
      <c r="CZ39">
        <f t="shared" si="43"/>
        <v>4953.8249999999998</v>
      </c>
      <c r="DC39" t="s">
        <v>3</v>
      </c>
      <c r="DD39" t="s">
        <v>3</v>
      </c>
      <c r="DE39" t="s">
        <v>28</v>
      </c>
      <c r="DF39" t="s">
        <v>28</v>
      </c>
      <c r="DG39" t="s">
        <v>28</v>
      </c>
      <c r="DH39" t="s">
        <v>3</v>
      </c>
      <c r="DI39" t="s">
        <v>28</v>
      </c>
      <c r="DJ39" t="s">
        <v>28</v>
      </c>
      <c r="DK39" t="s">
        <v>3</v>
      </c>
      <c r="DL39" t="s">
        <v>3</v>
      </c>
      <c r="DM39" t="s">
        <v>3</v>
      </c>
      <c r="DN39">
        <v>114</v>
      </c>
      <c r="DO39">
        <v>67</v>
      </c>
      <c r="DP39">
        <v>1.0669999999999999</v>
      </c>
      <c r="DQ39">
        <v>1.081</v>
      </c>
      <c r="DU39">
        <v>1010</v>
      </c>
      <c r="DV39" t="s">
        <v>36</v>
      </c>
      <c r="DW39" t="s">
        <v>36</v>
      </c>
      <c r="DX39">
        <v>1</v>
      </c>
      <c r="DZ39" t="s">
        <v>3</v>
      </c>
      <c r="EA39" t="s">
        <v>3</v>
      </c>
      <c r="EB39" t="s">
        <v>3</v>
      </c>
      <c r="EC39" t="s">
        <v>3</v>
      </c>
      <c r="EE39">
        <v>22827164</v>
      </c>
      <c r="EF39">
        <v>40</v>
      </c>
      <c r="EG39" t="s">
        <v>29</v>
      </c>
      <c r="EH39">
        <v>0</v>
      </c>
      <c r="EI39" t="s">
        <v>3</v>
      </c>
      <c r="EJ39">
        <v>2</v>
      </c>
      <c r="EK39">
        <v>323</v>
      </c>
      <c r="EL39" t="s">
        <v>85</v>
      </c>
      <c r="EM39" t="s">
        <v>86</v>
      </c>
      <c r="EO39" t="s">
        <v>32</v>
      </c>
      <c r="EQ39">
        <v>0</v>
      </c>
      <c r="ER39">
        <v>159.25</v>
      </c>
      <c r="ES39">
        <v>30.17</v>
      </c>
      <c r="ET39">
        <v>0.85</v>
      </c>
      <c r="EU39">
        <v>0.2</v>
      </c>
      <c r="EV39">
        <v>128.22999999999999</v>
      </c>
      <c r="EW39">
        <v>10.4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X39">
        <v>114</v>
      </c>
      <c r="FY39">
        <v>67</v>
      </c>
      <c r="GA39" t="s">
        <v>3</v>
      </c>
      <c r="GD39">
        <v>0</v>
      </c>
      <c r="GF39">
        <v>1762708985</v>
      </c>
      <c r="GG39">
        <v>2</v>
      </c>
      <c r="GH39">
        <v>1</v>
      </c>
      <c r="GI39">
        <v>2</v>
      </c>
      <c r="GJ39">
        <v>0</v>
      </c>
      <c r="GK39">
        <f>ROUND(R39*(R12)/100,2)</f>
        <v>29.66</v>
      </c>
      <c r="GL39">
        <f t="shared" si="45"/>
        <v>0</v>
      </c>
      <c r="GM39">
        <f t="shared" si="46"/>
        <v>26915.77</v>
      </c>
      <c r="GN39">
        <f t="shared" si="47"/>
        <v>0</v>
      </c>
      <c r="GO39">
        <f t="shared" si="48"/>
        <v>26915.77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HE39" t="s">
        <v>3</v>
      </c>
      <c r="HF39" t="s">
        <v>3</v>
      </c>
      <c r="IK39">
        <v>0</v>
      </c>
    </row>
    <row r="41" spans="1:245" x14ac:dyDescent="0.2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Электромонтажные работы.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57">ROUND(AB41,2)</f>
        <v>101035.4</v>
      </c>
      <c r="P41" s="2">
        <f t="shared" si="57"/>
        <v>17378.509999999998</v>
      </c>
      <c r="Q41" s="2">
        <f t="shared" si="57"/>
        <v>22950.48</v>
      </c>
      <c r="R41" s="2">
        <f t="shared" si="57"/>
        <v>12245.02</v>
      </c>
      <c r="S41" s="2">
        <f t="shared" si="57"/>
        <v>60706.41</v>
      </c>
      <c r="T41" s="2">
        <f t="shared" si="57"/>
        <v>0</v>
      </c>
      <c r="U41" s="2">
        <f>AH41</f>
        <v>204.3823572</v>
      </c>
      <c r="V41" s="2">
        <f>AI41</f>
        <v>0</v>
      </c>
      <c r="W41" s="2">
        <f>ROUND(AJ41,2)</f>
        <v>0</v>
      </c>
      <c r="X41" s="2">
        <f>ROUND(AK41,2)</f>
        <v>46743.95</v>
      </c>
      <c r="Y41" s="2">
        <f>ROUND(AL41,2)</f>
        <v>24889.63</v>
      </c>
      <c r="Z41" s="2"/>
      <c r="AA41" s="2"/>
      <c r="AB41" s="2">
        <f>ROUND(SUMIF(AA28:AA39,"=23680976",O28:O39),2)</f>
        <v>101035.4</v>
      </c>
      <c r="AC41" s="2">
        <f>ROUND(SUMIF(AA28:AA39,"=23680976",P28:P39),2)</f>
        <v>17378.509999999998</v>
      </c>
      <c r="AD41" s="2">
        <f>ROUND(SUMIF(AA28:AA39,"=23680976",Q28:Q39),2)</f>
        <v>22950.48</v>
      </c>
      <c r="AE41" s="2">
        <f>ROUND(SUMIF(AA28:AA39,"=23680976",R28:R39),2)</f>
        <v>12245.02</v>
      </c>
      <c r="AF41" s="2">
        <f>ROUND(SUMIF(AA28:AA39,"=23680976",S28:S39),2)</f>
        <v>60706.41</v>
      </c>
      <c r="AG41" s="2">
        <f>ROUND(SUMIF(AA28:AA39,"=23680976",T28:T39),2)</f>
        <v>0</v>
      </c>
      <c r="AH41" s="2">
        <f>SUMIF(AA28:AA39,"=23680976",U28:U39)</f>
        <v>204.3823572</v>
      </c>
      <c r="AI41" s="2">
        <f>SUMIF(AA28:AA39,"=23680976",V28:V39)</f>
        <v>0</v>
      </c>
      <c r="AJ41" s="2">
        <f>ROUND(SUMIF(AA28:AA39,"=23680976",W28:W39),2)</f>
        <v>0</v>
      </c>
      <c r="AK41" s="2">
        <f>ROUND(SUMIF(AA28:AA39,"=23680976",X28:X39),2)</f>
        <v>46743.95</v>
      </c>
      <c r="AL41" s="2">
        <f>ROUND(SUMIF(AA28:AA39,"=23680976",Y28:Y39),2)</f>
        <v>24889.63</v>
      </c>
      <c r="AM41" s="2"/>
      <c r="AN41" s="2"/>
      <c r="AO41" s="2">
        <f t="shared" ref="AO41:BD41" si="58">ROUND(BX41,2)</f>
        <v>0</v>
      </c>
      <c r="AP41" s="2">
        <f t="shared" si="58"/>
        <v>0</v>
      </c>
      <c r="AQ41" s="2">
        <f t="shared" si="58"/>
        <v>0</v>
      </c>
      <c r="AR41" s="2">
        <f t="shared" si="58"/>
        <v>191893.66</v>
      </c>
      <c r="AS41" s="2">
        <f t="shared" si="58"/>
        <v>0</v>
      </c>
      <c r="AT41" s="2">
        <f t="shared" si="58"/>
        <v>191893.66</v>
      </c>
      <c r="AU41" s="2">
        <f t="shared" si="58"/>
        <v>0</v>
      </c>
      <c r="AV41" s="2">
        <f t="shared" si="58"/>
        <v>17378.509999999998</v>
      </c>
      <c r="AW41" s="2">
        <f t="shared" si="58"/>
        <v>17378.509999999998</v>
      </c>
      <c r="AX41" s="2">
        <f t="shared" si="58"/>
        <v>0</v>
      </c>
      <c r="AY41" s="2">
        <f t="shared" si="58"/>
        <v>17378.509999999998</v>
      </c>
      <c r="AZ41" s="2">
        <f t="shared" si="58"/>
        <v>0</v>
      </c>
      <c r="BA41" s="2">
        <f t="shared" si="58"/>
        <v>0</v>
      </c>
      <c r="BB41" s="2">
        <f t="shared" si="58"/>
        <v>0</v>
      </c>
      <c r="BC41" s="2">
        <f t="shared" si="58"/>
        <v>0</v>
      </c>
      <c r="BD41" s="2">
        <f t="shared" si="58"/>
        <v>0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ROUND(SUMIF(AA28:AA39,"=23680976",FQ28:FQ39),2)</f>
        <v>0</v>
      </c>
      <c r="BY41" s="2">
        <f>ROUND(SUMIF(AA28:AA39,"=23680976",FR28:FR39),2)</f>
        <v>0</v>
      </c>
      <c r="BZ41" s="2">
        <f>ROUND(SUMIF(AA28:AA39,"=23680976",GL28:GL39),2)</f>
        <v>0</v>
      </c>
      <c r="CA41" s="2">
        <f>ROUND(SUMIF(AA28:AA39,"=23680976",GM28:GM39),2)</f>
        <v>191893.66</v>
      </c>
      <c r="CB41" s="2">
        <f>ROUND(SUMIF(AA28:AA39,"=23680976",GN28:GN39),2)</f>
        <v>0</v>
      </c>
      <c r="CC41" s="2">
        <f>ROUND(SUMIF(AA28:AA39,"=23680976",GO28:GO39),2)</f>
        <v>191893.66</v>
      </c>
      <c r="CD41" s="2">
        <f>ROUND(SUMIF(AA28:AA39,"=23680976",GP28:GP39),2)</f>
        <v>0</v>
      </c>
      <c r="CE41" s="2">
        <f>AC41-BX41</f>
        <v>17378.509999999998</v>
      </c>
      <c r="CF41" s="2">
        <f>AC41-BY41</f>
        <v>17378.509999999998</v>
      </c>
      <c r="CG41" s="2">
        <f>BX41-BZ41</f>
        <v>0</v>
      </c>
      <c r="CH41" s="2">
        <f>AC41-BX41-BY41+BZ41</f>
        <v>17378.509999999998</v>
      </c>
      <c r="CI41" s="2">
        <f>BY41-BZ41</f>
        <v>0</v>
      </c>
      <c r="CJ41" s="2">
        <f>ROUND(SUMIF(AA28:AA39,"=23680976",GX28:GX39),2)</f>
        <v>0</v>
      </c>
      <c r="CK41" s="2">
        <f>ROUND(SUMIF(AA28:AA39,"=23680976",GY28:GY39),2)</f>
        <v>0</v>
      </c>
      <c r="CL41" s="2">
        <f>ROUND(SUMIF(AA28:AA39,"=23680976",GZ28:GZ39),2)</f>
        <v>0</v>
      </c>
      <c r="CM41" s="2">
        <f>ROUND(SUMIF(AA28:AA39,"=23680976",HD28:HD39),2)</f>
        <v>0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201</v>
      </c>
      <c r="F43" s="4">
        <f>ROUND(Source!O41,O43)</f>
        <v>101035.4</v>
      </c>
      <c r="G43" s="4" t="s">
        <v>87</v>
      </c>
      <c r="H43" s="4" t="s">
        <v>88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17378.509999999998</v>
      </c>
      <c r="G44" s="4" t="s">
        <v>89</v>
      </c>
      <c r="H44" s="4" t="s">
        <v>90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91</v>
      </c>
      <c r="H45" s="4" t="s">
        <v>92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17378.509999999998</v>
      </c>
      <c r="G46" s="4" t="s">
        <v>93</v>
      </c>
      <c r="H46" s="4" t="s">
        <v>94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17378.509999999998</v>
      </c>
      <c r="G47" s="4" t="s">
        <v>95</v>
      </c>
      <c r="H47" s="4" t="s">
        <v>96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97</v>
      </c>
      <c r="H48" s="4" t="s">
        <v>98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17378.509999999998</v>
      </c>
      <c r="G49" s="4" t="s">
        <v>99</v>
      </c>
      <c r="H49" s="4" t="s">
        <v>100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101</v>
      </c>
      <c r="H50" s="4" t="s">
        <v>102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103</v>
      </c>
      <c r="H51" s="4" t="s">
        <v>104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105</v>
      </c>
      <c r="H52" s="4" t="s">
        <v>106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22950.48</v>
      </c>
      <c r="G53" s="4" t="s">
        <v>107</v>
      </c>
      <c r="H53" s="4" t="s">
        <v>108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109</v>
      </c>
      <c r="H54" s="4" t="s">
        <v>110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12245.02</v>
      </c>
      <c r="G55" s="4" t="s">
        <v>111</v>
      </c>
      <c r="H55" s="4" t="s">
        <v>112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60706.41</v>
      </c>
      <c r="G56" s="4" t="s">
        <v>113</v>
      </c>
      <c r="H56" s="4" t="s">
        <v>114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115</v>
      </c>
      <c r="H57" s="4" t="s">
        <v>116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0</v>
      </c>
      <c r="G58" s="4" t="s">
        <v>117</v>
      </c>
      <c r="H58" s="4" t="s">
        <v>118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191893.66</v>
      </c>
      <c r="G59" s="4" t="s">
        <v>119</v>
      </c>
      <c r="H59" s="4" t="s">
        <v>120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121</v>
      </c>
      <c r="H60" s="4" t="s">
        <v>122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123</v>
      </c>
      <c r="H61" s="4" t="s">
        <v>124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125</v>
      </c>
      <c r="H62" s="4" t="s">
        <v>126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204.3823572</v>
      </c>
      <c r="G63" s="4" t="s">
        <v>127</v>
      </c>
      <c r="H63" s="4" t="s">
        <v>128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0</v>
      </c>
      <c r="G64" s="4" t="s">
        <v>129</v>
      </c>
      <c r="H64" s="4" t="s">
        <v>130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131</v>
      </c>
      <c r="H65" s="4" t="s">
        <v>132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0</v>
      </c>
      <c r="G66" s="4" t="s">
        <v>133</v>
      </c>
      <c r="H66" s="4" t="s">
        <v>134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ROUND(Source!X41,O67)</f>
        <v>46743.95</v>
      </c>
      <c r="G67" s="4" t="s">
        <v>135</v>
      </c>
      <c r="H67" s="4" t="s">
        <v>136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ROUND(Source!Y41,O68)</f>
        <v>24889.63</v>
      </c>
      <c r="G68" s="4" t="s">
        <v>137</v>
      </c>
      <c r="H68" s="4" t="s">
        <v>138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191893.66</v>
      </c>
      <c r="G69" s="4" t="s">
        <v>139</v>
      </c>
      <c r="H69" s="4" t="s">
        <v>140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1" spans="1:245" x14ac:dyDescent="0.2">
      <c r="A71" s="1">
        <v>4</v>
      </c>
      <c r="B71" s="1">
        <v>1</v>
      </c>
      <c r="C71" s="1"/>
      <c r="D71" s="1">
        <f>ROW(A87)</f>
        <v>87</v>
      </c>
      <c r="E71" s="1"/>
      <c r="F71" s="1" t="s">
        <v>21</v>
      </c>
      <c r="G71" s="1" t="s">
        <v>141</v>
      </c>
      <c r="H71" s="1" t="s">
        <v>3</v>
      </c>
      <c r="I71" s="1">
        <v>0</v>
      </c>
      <c r="J71" s="1"/>
      <c r="K71" s="1">
        <v>-1</v>
      </c>
      <c r="L71" s="1"/>
      <c r="M71" s="1" t="s">
        <v>3</v>
      </c>
      <c r="N71" s="1"/>
      <c r="O71" s="1"/>
      <c r="P71" s="1"/>
      <c r="Q71" s="1"/>
      <c r="R71" s="1"/>
      <c r="S71" s="1">
        <v>0</v>
      </c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45" x14ac:dyDescent="0.2">
      <c r="A73" s="2">
        <v>52</v>
      </c>
      <c r="B73" s="2">
        <f t="shared" ref="B73:G73" si="59">B87</f>
        <v>1</v>
      </c>
      <c r="C73" s="2">
        <f t="shared" si="59"/>
        <v>4</v>
      </c>
      <c r="D73" s="2">
        <f t="shared" si="59"/>
        <v>71</v>
      </c>
      <c r="E73" s="2">
        <f t="shared" si="59"/>
        <v>0</v>
      </c>
      <c r="F73" s="2" t="str">
        <f t="shared" si="59"/>
        <v>Новый раздел</v>
      </c>
      <c r="G73" s="2" t="str">
        <f t="shared" si="59"/>
        <v>Пусконаладочные работы.</v>
      </c>
      <c r="H73" s="2"/>
      <c r="I73" s="2"/>
      <c r="J73" s="2"/>
      <c r="K73" s="2"/>
      <c r="L73" s="2"/>
      <c r="M73" s="2"/>
      <c r="N73" s="2"/>
      <c r="O73" s="2">
        <f t="shared" ref="O73:AT73" si="60">O87</f>
        <v>53686.45</v>
      </c>
      <c r="P73" s="2">
        <f t="shared" si="60"/>
        <v>0</v>
      </c>
      <c r="Q73" s="2">
        <f t="shared" si="60"/>
        <v>0</v>
      </c>
      <c r="R73" s="2">
        <f t="shared" si="60"/>
        <v>0</v>
      </c>
      <c r="S73" s="2">
        <f t="shared" si="60"/>
        <v>53686.45</v>
      </c>
      <c r="T73" s="2">
        <f t="shared" si="60"/>
        <v>0</v>
      </c>
      <c r="U73" s="2">
        <f t="shared" si="60"/>
        <v>150.60480000000001</v>
      </c>
      <c r="V73" s="2">
        <f t="shared" si="60"/>
        <v>0</v>
      </c>
      <c r="W73" s="2">
        <f t="shared" si="60"/>
        <v>0</v>
      </c>
      <c r="X73" s="2">
        <f t="shared" si="60"/>
        <v>36506.769999999997</v>
      </c>
      <c r="Y73" s="2">
        <f t="shared" si="60"/>
        <v>22011.45</v>
      </c>
      <c r="Z73" s="2">
        <f t="shared" si="60"/>
        <v>0</v>
      </c>
      <c r="AA73" s="2">
        <f t="shared" si="60"/>
        <v>0</v>
      </c>
      <c r="AB73" s="2">
        <f t="shared" si="60"/>
        <v>53686.45</v>
      </c>
      <c r="AC73" s="2">
        <f t="shared" si="60"/>
        <v>0</v>
      </c>
      <c r="AD73" s="2">
        <f t="shared" si="60"/>
        <v>0</v>
      </c>
      <c r="AE73" s="2">
        <f t="shared" si="60"/>
        <v>0</v>
      </c>
      <c r="AF73" s="2">
        <f t="shared" si="60"/>
        <v>53686.45</v>
      </c>
      <c r="AG73" s="2">
        <f t="shared" si="60"/>
        <v>0</v>
      </c>
      <c r="AH73" s="2">
        <f t="shared" si="60"/>
        <v>150.60480000000001</v>
      </c>
      <c r="AI73" s="2">
        <f t="shared" si="60"/>
        <v>0</v>
      </c>
      <c r="AJ73" s="2">
        <f t="shared" si="60"/>
        <v>0</v>
      </c>
      <c r="AK73" s="2">
        <f t="shared" si="60"/>
        <v>36506.769999999997</v>
      </c>
      <c r="AL73" s="2">
        <f t="shared" si="60"/>
        <v>22011.45</v>
      </c>
      <c r="AM73" s="2">
        <f t="shared" si="60"/>
        <v>0</v>
      </c>
      <c r="AN73" s="2">
        <f t="shared" si="60"/>
        <v>0</v>
      </c>
      <c r="AO73" s="2">
        <f t="shared" si="60"/>
        <v>0</v>
      </c>
      <c r="AP73" s="2">
        <f t="shared" si="60"/>
        <v>0</v>
      </c>
      <c r="AQ73" s="2">
        <f t="shared" si="60"/>
        <v>0</v>
      </c>
      <c r="AR73" s="2">
        <f t="shared" si="60"/>
        <v>112204.67</v>
      </c>
      <c r="AS73" s="2">
        <f t="shared" si="60"/>
        <v>0</v>
      </c>
      <c r="AT73" s="2">
        <f t="shared" si="60"/>
        <v>0</v>
      </c>
      <c r="AU73" s="2">
        <f t="shared" ref="AU73:BZ73" si="61">AU87</f>
        <v>112204.67</v>
      </c>
      <c r="AV73" s="2">
        <f t="shared" si="61"/>
        <v>0</v>
      </c>
      <c r="AW73" s="2">
        <f t="shared" si="61"/>
        <v>0</v>
      </c>
      <c r="AX73" s="2">
        <f t="shared" si="61"/>
        <v>0</v>
      </c>
      <c r="AY73" s="2">
        <f t="shared" si="61"/>
        <v>0</v>
      </c>
      <c r="AZ73" s="2">
        <f t="shared" si="61"/>
        <v>0</v>
      </c>
      <c r="BA73" s="2">
        <f t="shared" si="61"/>
        <v>0</v>
      </c>
      <c r="BB73" s="2">
        <f t="shared" si="61"/>
        <v>0</v>
      </c>
      <c r="BC73" s="2">
        <f t="shared" si="61"/>
        <v>0</v>
      </c>
      <c r="BD73" s="2">
        <f t="shared" si="61"/>
        <v>0</v>
      </c>
      <c r="BE73" s="2">
        <f t="shared" si="61"/>
        <v>0</v>
      </c>
      <c r="BF73" s="2">
        <f t="shared" si="61"/>
        <v>0</v>
      </c>
      <c r="BG73" s="2">
        <f t="shared" si="61"/>
        <v>0</v>
      </c>
      <c r="BH73" s="2">
        <f t="shared" si="61"/>
        <v>0</v>
      </c>
      <c r="BI73" s="2">
        <f t="shared" si="61"/>
        <v>0</v>
      </c>
      <c r="BJ73" s="2">
        <f t="shared" si="61"/>
        <v>0</v>
      </c>
      <c r="BK73" s="2">
        <f t="shared" si="61"/>
        <v>0</v>
      </c>
      <c r="BL73" s="2">
        <f t="shared" si="61"/>
        <v>0</v>
      </c>
      <c r="BM73" s="2">
        <f t="shared" si="61"/>
        <v>0</v>
      </c>
      <c r="BN73" s="2">
        <f t="shared" si="61"/>
        <v>0</v>
      </c>
      <c r="BO73" s="2">
        <f t="shared" si="61"/>
        <v>0</v>
      </c>
      <c r="BP73" s="2">
        <f t="shared" si="61"/>
        <v>0</v>
      </c>
      <c r="BQ73" s="2">
        <f t="shared" si="61"/>
        <v>0</v>
      </c>
      <c r="BR73" s="2">
        <f t="shared" si="61"/>
        <v>0</v>
      </c>
      <c r="BS73" s="2">
        <f t="shared" si="61"/>
        <v>0</v>
      </c>
      <c r="BT73" s="2">
        <f t="shared" si="61"/>
        <v>0</v>
      </c>
      <c r="BU73" s="2">
        <f t="shared" si="61"/>
        <v>0</v>
      </c>
      <c r="BV73" s="2">
        <f t="shared" si="61"/>
        <v>0</v>
      </c>
      <c r="BW73" s="2">
        <f t="shared" si="61"/>
        <v>0</v>
      </c>
      <c r="BX73" s="2">
        <f t="shared" si="61"/>
        <v>0</v>
      </c>
      <c r="BY73" s="2">
        <f t="shared" si="61"/>
        <v>0</v>
      </c>
      <c r="BZ73" s="2">
        <f t="shared" si="61"/>
        <v>0</v>
      </c>
      <c r="CA73" s="2">
        <f t="shared" ref="CA73:DF73" si="62">CA87</f>
        <v>112204.67</v>
      </c>
      <c r="CB73" s="2">
        <f t="shared" si="62"/>
        <v>0</v>
      </c>
      <c r="CC73" s="2">
        <f t="shared" si="62"/>
        <v>0</v>
      </c>
      <c r="CD73" s="2">
        <f t="shared" si="62"/>
        <v>112204.67</v>
      </c>
      <c r="CE73" s="2">
        <f t="shared" si="62"/>
        <v>0</v>
      </c>
      <c r="CF73" s="2">
        <f t="shared" si="62"/>
        <v>0</v>
      </c>
      <c r="CG73" s="2">
        <f t="shared" si="62"/>
        <v>0</v>
      </c>
      <c r="CH73" s="2">
        <f t="shared" si="62"/>
        <v>0</v>
      </c>
      <c r="CI73" s="2">
        <f t="shared" si="62"/>
        <v>0</v>
      </c>
      <c r="CJ73" s="2">
        <f t="shared" si="62"/>
        <v>0</v>
      </c>
      <c r="CK73" s="2">
        <f t="shared" si="62"/>
        <v>0</v>
      </c>
      <c r="CL73" s="2">
        <f t="shared" si="62"/>
        <v>0</v>
      </c>
      <c r="CM73" s="2">
        <f t="shared" si="62"/>
        <v>0</v>
      </c>
      <c r="CN73" s="2">
        <f t="shared" si="62"/>
        <v>0</v>
      </c>
      <c r="CO73" s="2">
        <f t="shared" si="62"/>
        <v>0</v>
      </c>
      <c r="CP73" s="2">
        <f t="shared" si="62"/>
        <v>0</v>
      </c>
      <c r="CQ73" s="2">
        <f t="shared" si="62"/>
        <v>0</v>
      </c>
      <c r="CR73" s="2">
        <f t="shared" si="62"/>
        <v>0</v>
      </c>
      <c r="CS73" s="2">
        <f t="shared" si="62"/>
        <v>0</v>
      </c>
      <c r="CT73" s="2">
        <f t="shared" si="62"/>
        <v>0</v>
      </c>
      <c r="CU73" s="2">
        <f t="shared" si="62"/>
        <v>0</v>
      </c>
      <c r="CV73" s="2">
        <f t="shared" si="62"/>
        <v>0</v>
      </c>
      <c r="CW73" s="2">
        <f t="shared" si="62"/>
        <v>0</v>
      </c>
      <c r="CX73" s="2">
        <f t="shared" si="62"/>
        <v>0</v>
      </c>
      <c r="CY73" s="2">
        <f t="shared" si="62"/>
        <v>0</v>
      </c>
      <c r="CZ73" s="2">
        <f t="shared" si="62"/>
        <v>0</v>
      </c>
      <c r="DA73" s="2">
        <f t="shared" si="62"/>
        <v>0</v>
      </c>
      <c r="DB73" s="2">
        <f t="shared" si="62"/>
        <v>0</v>
      </c>
      <c r="DC73" s="2">
        <f t="shared" si="62"/>
        <v>0</v>
      </c>
      <c r="DD73" s="2">
        <f t="shared" si="62"/>
        <v>0</v>
      </c>
      <c r="DE73" s="2">
        <f t="shared" si="62"/>
        <v>0</v>
      </c>
      <c r="DF73" s="2">
        <f t="shared" si="62"/>
        <v>0</v>
      </c>
      <c r="DG73" s="3">
        <f t="shared" ref="DG73:EL73" si="63">DG87</f>
        <v>0</v>
      </c>
      <c r="DH73" s="3">
        <f t="shared" si="63"/>
        <v>0</v>
      </c>
      <c r="DI73" s="3">
        <f t="shared" si="63"/>
        <v>0</v>
      </c>
      <c r="DJ73" s="3">
        <f t="shared" si="63"/>
        <v>0</v>
      </c>
      <c r="DK73" s="3">
        <f t="shared" si="63"/>
        <v>0</v>
      </c>
      <c r="DL73" s="3">
        <f t="shared" si="63"/>
        <v>0</v>
      </c>
      <c r="DM73" s="3">
        <f t="shared" si="63"/>
        <v>0</v>
      </c>
      <c r="DN73" s="3">
        <f t="shared" si="63"/>
        <v>0</v>
      </c>
      <c r="DO73" s="3">
        <f t="shared" si="63"/>
        <v>0</v>
      </c>
      <c r="DP73" s="3">
        <f t="shared" si="63"/>
        <v>0</v>
      </c>
      <c r="DQ73" s="3">
        <f t="shared" si="63"/>
        <v>0</v>
      </c>
      <c r="DR73" s="3">
        <f t="shared" si="63"/>
        <v>0</v>
      </c>
      <c r="DS73" s="3">
        <f t="shared" si="63"/>
        <v>0</v>
      </c>
      <c r="DT73" s="3">
        <f t="shared" si="63"/>
        <v>0</v>
      </c>
      <c r="DU73" s="3">
        <f t="shared" si="63"/>
        <v>0</v>
      </c>
      <c r="DV73" s="3">
        <f t="shared" si="63"/>
        <v>0</v>
      </c>
      <c r="DW73" s="3">
        <f t="shared" si="63"/>
        <v>0</v>
      </c>
      <c r="DX73" s="3">
        <f t="shared" si="63"/>
        <v>0</v>
      </c>
      <c r="DY73" s="3">
        <f t="shared" si="63"/>
        <v>0</v>
      </c>
      <c r="DZ73" s="3">
        <f t="shared" si="63"/>
        <v>0</v>
      </c>
      <c r="EA73" s="3">
        <f t="shared" si="63"/>
        <v>0</v>
      </c>
      <c r="EB73" s="3">
        <f t="shared" si="63"/>
        <v>0</v>
      </c>
      <c r="EC73" s="3">
        <f t="shared" si="63"/>
        <v>0</v>
      </c>
      <c r="ED73" s="3">
        <f t="shared" si="63"/>
        <v>0</v>
      </c>
      <c r="EE73" s="3">
        <f t="shared" si="63"/>
        <v>0</v>
      </c>
      <c r="EF73" s="3">
        <f t="shared" si="63"/>
        <v>0</v>
      </c>
      <c r="EG73" s="3">
        <f t="shared" si="63"/>
        <v>0</v>
      </c>
      <c r="EH73" s="3">
        <f t="shared" si="63"/>
        <v>0</v>
      </c>
      <c r="EI73" s="3">
        <f t="shared" si="63"/>
        <v>0</v>
      </c>
      <c r="EJ73" s="3">
        <f t="shared" si="63"/>
        <v>0</v>
      </c>
      <c r="EK73" s="3">
        <f t="shared" si="63"/>
        <v>0</v>
      </c>
      <c r="EL73" s="3">
        <f t="shared" si="63"/>
        <v>0</v>
      </c>
      <c r="EM73" s="3">
        <f t="shared" ref="EM73:FR73" si="64">EM87</f>
        <v>0</v>
      </c>
      <c r="EN73" s="3">
        <f t="shared" si="64"/>
        <v>0</v>
      </c>
      <c r="EO73" s="3">
        <f t="shared" si="64"/>
        <v>0</v>
      </c>
      <c r="EP73" s="3">
        <f t="shared" si="64"/>
        <v>0</v>
      </c>
      <c r="EQ73" s="3">
        <f t="shared" si="64"/>
        <v>0</v>
      </c>
      <c r="ER73" s="3">
        <f t="shared" si="64"/>
        <v>0</v>
      </c>
      <c r="ES73" s="3">
        <f t="shared" si="64"/>
        <v>0</v>
      </c>
      <c r="ET73" s="3">
        <f t="shared" si="64"/>
        <v>0</v>
      </c>
      <c r="EU73" s="3">
        <f t="shared" si="64"/>
        <v>0</v>
      </c>
      <c r="EV73" s="3">
        <f t="shared" si="64"/>
        <v>0</v>
      </c>
      <c r="EW73" s="3">
        <f t="shared" si="64"/>
        <v>0</v>
      </c>
      <c r="EX73" s="3">
        <f t="shared" si="64"/>
        <v>0</v>
      </c>
      <c r="EY73" s="3">
        <f t="shared" si="64"/>
        <v>0</v>
      </c>
      <c r="EZ73" s="3">
        <f t="shared" si="64"/>
        <v>0</v>
      </c>
      <c r="FA73" s="3">
        <f t="shared" si="64"/>
        <v>0</v>
      </c>
      <c r="FB73" s="3">
        <f t="shared" si="64"/>
        <v>0</v>
      </c>
      <c r="FC73" s="3">
        <f t="shared" si="64"/>
        <v>0</v>
      </c>
      <c r="FD73" s="3">
        <f t="shared" si="64"/>
        <v>0</v>
      </c>
      <c r="FE73" s="3">
        <f t="shared" si="64"/>
        <v>0</v>
      </c>
      <c r="FF73" s="3">
        <f t="shared" si="64"/>
        <v>0</v>
      </c>
      <c r="FG73" s="3">
        <f t="shared" si="64"/>
        <v>0</v>
      </c>
      <c r="FH73" s="3">
        <f t="shared" si="64"/>
        <v>0</v>
      </c>
      <c r="FI73" s="3">
        <f t="shared" si="64"/>
        <v>0</v>
      </c>
      <c r="FJ73" s="3">
        <f t="shared" si="64"/>
        <v>0</v>
      </c>
      <c r="FK73" s="3">
        <f t="shared" si="64"/>
        <v>0</v>
      </c>
      <c r="FL73" s="3">
        <f t="shared" si="64"/>
        <v>0</v>
      </c>
      <c r="FM73" s="3">
        <f t="shared" si="64"/>
        <v>0</v>
      </c>
      <c r="FN73" s="3">
        <f t="shared" si="64"/>
        <v>0</v>
      </c>
      <c r="FO73" s="3">
        <f t="shared" si="64"/>
        <v>0</v>
      </c>
      <c r="FP73" s="3">
        <f t="shared" si="64"/>
        <v>0</v>
      </c>
      <c r="FQ73" s="3">
        <f t="shared" si="64"/>
        <v>0</v>
      </c>
      <c r="FR73" s="3">
        <f t="shared" si="64"/>
        <v>0</v>
      </c>
      <c r="FS73" s="3">
        <f t="shared" ref="FS73:GX73" si="65">FS87</f>
        <v>0</v>
      </c>
      <c r="FT73" s="3">
        <f t="shared" si="65"/>
        <v>0</v>
      </c>
      <c r="FU73" s="3">
        <f t="shared" si="65"/>
        <v>0</v>
      </c>
      <c r="FV73" s="3">
        <f t="shared" si="65"/>
        <v>0</v>
      </c>
      <c r="FW73" s="3">
        <f t="shared" si="65"/>
        <v>0</v>
      </c>
      <c r="FX73" s="3">
        <f t="shared" si="65"/>
        <v>0</v>
      </c>
      <c r="FY73" s="3">
        <f t="shared" si="65"/>
        <v>0</v>
      </c>
      <c r="FZ73" s="3">
        <f t="shared" si="65"/>
        <v>0</v>
      </c>
      <c r="GA73" s="3">
        <f t="shared" si="65"/>
        <v>0</v>
      </c>
      <c r="GB73" s="3">
        <f t="shared" si="65"/>
        <v>0</v>
      </c>
      <c r="GC73" s="3">
        <f t="shared" si="65"/>
        <v>0</v>
      </c>
      <c r="GD73" s="3">
        <f t="shared" si="65"/>
        <v>0</v>
      </c>
      <c r="GE73" s="3">
        <f t="shared" si="65"/>
        <v>0</v>
      </c>
      <c r="GF73" s="3">
        <f t="shared" si="65"/>
        <v>0</v>
      </c>
      <c r="GG73" s="3">
        <f t="shared" si="65"/>
        <v>0</v>
      </c>
      <c r="GH73" s="3">
        <f t="shared" si="65"/>
        <v>0</v>
      </c>
      <c r="GI73" s="3">
        <f t="shared" si="65"/>
        <v>0</v>
      </c>
      <c r="GJ73" s="3">
        <f t="shared" si="65"/>
        <v>0</v>
      </c>
      <c r="GK73" s="3">
        <f t="shared" si="65"/>
        <v>0</v>
      </c>
      <c r="GL73" s="3">
        <f t="shared" si="65"/>
        <v>0</v>
      </c>
      <c r="GM73" s="3">
        <f t="shared" si="65"/>
        <v>0</v>
      </c>
      <c r="GN73" s="3">
        <f t="shared" si="65"/>
        <v>0</v>
      </c>
      <c r="GO73" s="3">
        <f t="shared" si="65"/>
        <v>0</v>
      </c>
      <c r="GP73" s="3">
        <f t="shared" si="65"/>
        <v>0</v>
      </c>
      <c r="GQ73" s="3">
        <f t="shared" si="65"/>
        <v>0</v>
      </c>
      <c r="GR73" s="3">
        <f t="shared" si="65"/>
        <v>0</v>
      </c>
      <c r="GS73" s="3">
        <f t="shared" si="65"/>
        <v>0</v>
      </c>
      <c r="GT73" s="3">
        <f t="shared" si="65"/>
        <v>0</v>
      </c>
      <c r="GU73" s="3">
        <f t="shared" si="65"/>
        <v>0</v>
      </c>
      <c r="GV73" s="3">
        <f t="shared" si="65"/>
        <v>0</v>
      </c>
      <c r="GW73" s="3">
        <f t="shared" si="65"/>
        <v>0</v>
      </c>
      <c r="GX73" s="3">
        <f t="shared" si="65"/>
        <v>0</v>
      </c>
    </row>
    <row r="75" spans="1:245" x14ac:dyDescent="0.2">
      <c r="A75">
        <v>17</v>
      </c>
      <c r="B75">
        <v>1</v>
      </c>
      <c r="E75" t="s">
        <v>142</v>
      </c>
      <c r="F75" t="s">
        <v>143</v>
      </c>
      <c r="G75" t="s">
        <v>144</v>
      </c>
      <c r="H75" t="s">
        <v>36</v>
      </c>
      <c r="I75">
        <v>3</v>
      </c>
      <c r="J75">
        <v>0</v>
      </c>
      <c r="O75">
        <f t="shared" ref="O75:O85" si="66">ROUND(CP75,2)</f>
        <v>5512.49</v>
      </c>
      <c r="P75">
        <f t="shared" ref="P75:P85" si="67">ROUND((ROUND((AC75*AW75*I75),2)*BC75),2)</f>
        <v>0</v>
      </c>
      <c r="Q75">
        <f t="shared" ref="Q75:Q85" si="68">(ROUND((ROUND(((ET75)*AV75*I75),2)*BB75),2)+ROUND((ROUND(((AE75-(EU75))*AV75*I75),2)*BS75),2))</f>
        <v>0</v>
      </c>
      <c r="R75">
        <f t="shared" ref="R75:R85" si="69">ROUND((ROUND((AE75*AV75*I75),2)*BS75),2)</f>
        <v>0</v>
      </c>
      <c r="S75">
        <f t="shared" ref="S75:S85" si="70">ROUND((ROUND((AF75*AV75*I75),2)*BA75),2)</f>
        <v>5512.49</v>
      </c>
      <c r="T75">
        <f t="shared" ref="T75:T85" si="71">ROUND(CU75*I75,2)</f>
        <v>0</v>
      </c>
      <c r="U75">
        <f t="shared" ref="U75:U85" si="72">CV75*I75</f>
        <v>16.848000000000003</v>
      </c>
      <c r="V75">
        <f t="shared" ref="V75:V85" si="73">CW75*I75</f>
        <v>0</v>
      </c>
      <c r="W75">
        <f t="shared" ref="W75:W85" si="74">ROUND(CX75*I75,2)</f>
        <v>0</v>
      </c>
      <c r="X75">
        <f t="shared" ref="X75:X85" si="75">ROUND(CY75,2)</f>
        <v>3748.49</v>
      </c>
      <c r="Y75">
        <f t="shared" ref="Y75:Y85" si="76">ROUND(CZ75,2)</f>
        <v>2260.12</v>
      </c>
      <c r="AA75">
        <v>23680976</v>
      </c>
      <c r="AB75">
        <f t="shared" ref="AB75:AB85" si="77">ROUND((AC75+AD75+AF75),6)</f>
        <v>90.074399999999997</v>
      </c>
      <c r="AC75">
        <f t="shared" ref="AC75:AC85" si="78">ROUND((ES75),6)</f>
        <v>0</v>
      </c>
      <c r="AD75">
        <f t="shared" ref="AD75:AD85" si="79">ROUND((((ET75)-(EU75))+AE75),6)</f>
        <v>0</v>
      </c>
      <c r="AE75">
        <f t="shared" ref="AE75:AE85" si="80">ROUND((EU75),6)</f>
        <v>0</v>
      </c>
      <c r="AF75">
        <f>ROUND((((EV75*1.3)*0.8)),6)</f>
        <v>90.074399999999997</v>
      </c>
      <c r="AG75">
        <f t="shared" ref="AG75:AG85" si="81">ROUND((AP75),6)</f>
        <v>0</v>
      </c>
      <c r="AH75">
        <f>(((EW75*1.3)*0.8))</f>
        <v>5.6160000000000005</v>
      </c>
      <c r="AI75">
        <f t="shared" ref="AI75:AI85" si="82">(EX75)</f>
        <v>0</v>
      </c>
      <c r="AJ75">
        <f t="shared" ref="AJ75:AJ85" si="83">(AS75)</f>
        <v>0</v>
      </c>
      <c r="AK75">
        <v>86.61</v>
      </c>
      <c r="AL75">
        <v>0</v>
      </c>
      <c r="AM75">
        <v>0</v>
      </c>
      <c r="AN75">
        <v>0</v>
      </c>
      <c r="AO75">
        <v>86.61</v>
      </c>
      <c r="AP75">
        <v>0</v>
      </c>
      <c r="AQ75">
        <v>5.4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20.399999999999999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145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249</v>
      </c>
      <c r="CO75">
        <v>0</v>
      </c>
      <c r="CP75">
        <f t="shared" ref="CP75:CP85" si="84">(P75+Q75+S75)</f>
        <v>5512.49</v>
      </c>
      <c r="CQ75">
        <f t="shared" ref="CQ75:CQ85" si="85">ROUND((ROUND((AC75*AW75*1),2)*BC75),2)</f>
        <v>0</v>
      </c>
      <c r="CR75">
        <f t="shared" ref="CR75:CR85" si="86">(ROUND((ROUND(((ET75)*AV75*1),2)*BB75),2)+ROUND((ROUND(((AE75-(EU75))*AV75*1),2)*BS75),2))</f>
        <v>0</v>
      </c>
      <c r="CS75">
        <f t="shared" ref="CS75:CS85" si="87">ROUND((ROUND((AE75*AV75*1),2)*BS75),2)</f>
        <v>0</v>
      </c>
      <c r="CT75">
        <f t="shared" ref="CT75:CT85" si="88">ROUND((ROUND((AF75*AV75*1),2)*BA75),2)</f>
        <v>1837.43</v>
      </c>
      <c r="CU75">
        <f t="shared" ref="CU75:CU85" si="89">AG75</f>
        <v>0</v>
      </c>
      <c r="CV75">
        <f t="shared" ref="CV75:CV85" si="90">(AH75*AV75)</f>
        <v>5.6160000000000005</v>
      </c>
      <c r="CW75">
        <f t="shared" ref="CW75:CW85" si="91">AI75</f>
        <v>0</v>
      </c>
      <c r="CX75">
        <f t="shared" ref="CX75:CX85" si="92">AJ75</f>
        <v>0</v>
      </c>
      <c r="CY75">
        <f t="shared" ref="CY75:CY85" si="93">S75*(BZ75/100)</f>
        <v>3748.4932000000003</v>
      </c>
      <c r="CZ75">
        <f t="shared" ref="CZ75:CZ85" si="94">S75*(CA75/100)</f>
        <v>2260.1208999999999</v>
      </c>
      <c r="DC75" t="s">
        <v>3</v>
      </c>
      <c r="DD75" t="s">
        <v>3</v>
      </c>
      <c r="DE75" t="s">
        <v>3</v>
      </c>
      <c r="DF75" t="s">
        <v>3</v>
      </c>
      <c r="DG75" t="s">
        <v>146</v>
      </c>
      <c r="DH75" t="s">
        <v>3</v>
      </c>
      <c r="DI75" t="s">
        <v>146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1010</v>
      </c>
      <c r="DV75" t="s">
        <v>36</v>
      </c>
      <c r="DW75" t="s">
        <v>36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147</v>
      </c>
      <c r="EH75">
        <v>0</v>
      </c>
      <c r="EI75" t="s">
        <v>3</v>
      </c>
      <c r="EJ75">
        <v>4</v>
      </c>
      <c r="EK75">
        <v>381</v>
      </c>
      <c r="EL75" t="s">
        <v>148</v>
      </c>
      <c r="EM75" t="s">
        <v>149</v>
      </c>
      <c r="EO75" t="s">
        <v>150</v>
      </c>
      <c r="EQ75">
        <v>0</v>
      </c>
      <c r="ER75">
        <v>86.61</v>
      </c>
      <c r="ES75">
        <v>0</v>
      </c>
      <c r="ET75">
        <v>0</v>
      </c>
      <c r="EU75">
        <v>0</v>
      </c>
      <c r="EV75">
        <v>86.61</v>
      </c>
      <c r="EW75">
        <v>5.4</v>
      </c>
      <c r="EX75">
        <v>0</v>
      </c>
      <c r="EY75">
        <v>0</v>
      </c>
      <c r="FQ75">
        <v>0</v>
      </c>
      <c r="FR75">
        <f t="shared" ref="FR75:FR85" si="95">ROUND(IF(AND(BH75=3,BI75=3),P75,0),2)</f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-219381348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ref="GL75:GL85" si="96">ROUND(IF(AND(BH75=3,BI75=3,FS75&lt;&gt;0),P75,0),2)</f>
        <v>0</v>
      </c>
      <c r="GM75">
        <f t="shared" ref="GM75:GM85" si="97">ROUND(O75+X75+Y75+GK75,2)+GX75</f>
        <v>11521.1</v>
      </c>
      <c r="GN75">
        <f t="shared" ref="GN75:GN85" si="98">IF(OR(BI75=0,BI75=1),ROUND(O75+X75+Y75+GK75,2),0)</f>
        <v>0</v>
      </c>
      <c r="GO75">
        <f t="shared" ref="GO75:GO85" si="99">IF(BI75=2,ROUND(O75+X75+Y75+GK75,2),0)</f>
        <v>0</v>
      </c>
      <c r="GP75">
        <f t="shared" ref="GP75:GP85" si="100">IF(BI75=4,ROUND(O75+X75+Y75+GK75,2)+GX75,0)</f>
        <v>11521.1</v>
      </c>
      <c r="GR75">
        <v>0</v>
      </c>
      <c r="GS75">
        <v>3</v>
      </c>
      <c r="GT75">
        <v>0</v>
      </c>
      <c r="GU75" t="s">
        <v>3</v>
      </c>
      <c r="GV75">
        <f t="shared" ref="GV75:GV85" si="101">ROUND((GT75),6)</f>
        <v>0</v>
      </c>
      <c r="GW75">
        <v>1</v>
      </c>
      <c r="GX75">
        <f t="shared" ref="GX75:GX85" si="102">ROUND(HC75*I75,2)</f>
        <v>0</v>
      </c>
      <c r="HA75">
        <v>0</v>
      </c>
      <c r="HB75">
        <v>0</v>
      </c>
      <c r="HC75">
        <f t="shared" ref="HC75:HC85" si="103">GV75*GW75</f>
        <v>0</v>
      </c>
      <c r="HE75" t="s">
        <v>3</v>
      </c>
      <c r="HF75" t="s">
        <v>3</v>
      </c>
      <c r="IK75">
        <v>0</v>
      </c>
    </row>
    <row r="76" spans="1:245" x14ac:dyDescent="0.2">
      <c r="A76">
        <v>17</v>
      </c>
      <c r="B76">
        <v>1</v>
      </c>
      <c r="E76" t="s">
        <v>151</v>
      </c>
      <c r="F76" t="s">
        <v>152</v>
      </c>
      <c r="G76" t="s">
        <v>153</v>
      </c>
      <c r="H76" t="s">
        <v>36</v>
      </c>
      <c r="I76">
        <v>2</v>
      </c>
      <c r="J76">
        <v>0</v>
      </c>
      <c r="O76">
        <f t="shared" si="66"/>
        <v>2349.06</v>
      </c>
      <c r="P76">
        <f t="shared" si="67"/>
        <v>0</v>
      </c>
      <c r="Q76">
        <f t="shared" si="68"/>
        <v>0</v>
      </c>
      <c r="R76">
        <f t="shared" si="69"/>
        <v>0</v>
      </c>
      <c r="S76">
        <f t="shared" si="70"/>
        <v>2349.06</v>
      </c>
      <c r="T76">
        <f t="shared" si="71"/>
        <v>0</v>
      </c>
      <c r="U76">
        <f t="shared" si="72"/>
        <v>9.3600000000000012</v>
      </c>
      <c r="V76">
        <f t="shared" si="73"/>
        <v>0</v>
      </c>
      <c r="W76">
        <f t="shared" si="74"/>
        <v>0</v>
      </c>
      <c r="X76">
        <f t="shared" si="75"/>
        <v>1597.36</v>
      </c>
      <c r="Y76">
        <f t="shared" si="76"/>
        <v>963.11</v>
      </c>
      <c r="AA76">
        <v>23680976</v>
      </c>
      <c r="AB76">
        <f t="shared" si="77"/>
        <v>57.574399999999997</v>
      </c>
      <c r="AC76">
        <f t="shared" si="78"/>
        <v>0</v>
      </c>
      <c r="AD76">
        <f t="shared" si="79"/>
        <v>0</v>
      </c>
      <c r="AE76">
        <f t="shared" si="80"/>
        <v>0</v>
      </c>
      <c r="AF76">
        <f>ROUND((((EV76*1.3)*0.8)),6)</f>
        <v>57.574399999999997</v>
      </c>
      <c r="AG76">
        <f t="shared" si="81"/>
        <v>0</v>
      </c>
      <c r="AH76">
        <f>(((EW76*1.3)*0.8))</f>
        <v>4.6800000000000006</v>
      </c>
      <c r="AI76">
        <f t="shared" si="82"/>
        <v>0</v>
      </c>
      <c r="AJ76">
        <f t="shared" si="83"/>
        <v>0</v>
      </c>
      <c r="AK76">
        <v>55.36</v>
      </c>
      <c r="AL76">
        <v>0</v>
      </c>
      <c r="AM76">
        <v>0</v>
      </c>
      <c r="AN76">
        <v>0</v>
      </c>
      <c r="AO76">
        <v>55.36</v>
      </c>
      <c r="AP76">
        <v>0</v>
      </c>
      <c r="AQ76">
        <v>4.5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20.399999999999999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154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249</v>
      </c>
      <c r="CO76">
        <v>0</v>
      </c>
      <c r="CP76">
        <f t="shared" si="84"/>
        <v>2349.06</v>
      </c>
      <c r="CQ76">
        <f t="shared" si="85"/>
        <v>0</v>
      </c>
      <c r="CR76">
        <f t="shared" si="86"/>
        <v>0</v>
      </c>
      <c r="CS76">
        <f t="shared" si="87"/>
        <v>0</v>
      </c>
      <c r="CT76">
        <f t="shared" si="88"/>
        <v>1174.43</v>
      </c>
      <c r="CU76">
        <f t="shared" si="89"/>
        <v>0</v>
      </c>
      <c r="CV76">
        <f t="shared" si="90"/>
        <v>4.6800000000000006</v>
      </c>
      <c r="CW76">
        <f t="shared" si="91"/>
        <v>0</v>
      </c>
      <c r="CX76">
        <f t="shared" si="92"/>
        <v>0</v>
      </c>
      <c r="CY76">
        <f t="shared" si="93"/>
        <v>1597.3608000000002</v>
      </c>
      <c r="CZ76">
        <f t="shared" si="94"/>
        <v>963.11459999999988</v>
      </c>
      <c r="DC76" t="s">
        <v>3</v>
      </c>
      <c r="DD76" t="s">
        <v>3</v>
      </c>
      <c r="DE76" t="s">
        <v>3</v>
      </c>
      <c r="DF76" t="s">
        <v>3</v>
      </c>
      <c r="DG76" t="s">
        <v>146</v>
      </c>
      <c r="DH76" t="s">
        <v>3</v>
      </c>
      <c r="DI76" t="s">
        <v>146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1010</v>
      </c>
      <c r="DV76" t="s">
        <v>36</v>
      </c>
      <c r="DW76" t="s">
        <v>36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147</v>
      </c>
      <c r="EH76">
        <v>0</v>
      </c>
      <c r="EI76" t="s">
        <v>3</v>
      </c>
      <c r="EJ76">
        <v>4</v>
      </c>
      <c r="EK76">
        <v>381</v>
      </c>
      <c r="EL76" t="s">
        <v>148</v>
      </c>
      <c r="EM76" t="s">
        <v>149</v>
      </c>
      <c r="EO76" t="s">
        <v>150</v>
      </c>
      <c r="EQ76">
        <v>0</v>
      </c>
      <c r="ER76">
        <v>55.36</v>
      </c>
      <c r="ES76">
        <v>0</v>
      </c>
      <c r="ET76">
        <v>0</v>
      </c>
      <c r="EU76">
        <v>0</v>
      </c>
      <c r="EV76">
        <v>55.36</v>
      </c>
      <c r="EW76">
        <v>4.5</v>
      </c>
      <c r="EX76">
        <v>0</v>
      </c>
      <c r="EY76">
        <v>0</v>
      </c>
      <c r="FQ76">
        <v>0</v>
      </c>
      <c r="FR76">
        <f t="shared" si="95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-943635207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6"/>
        <v>0</v>
      </c>
      <c r="GM76">
        <f t="shared" si="97"/>
        <v>4909.53</v>
      </c>
      <c r="GN76">
        <f t="shared" si="98"/>
        <v>0</v>
      </c>
      <c r="GO76">
        <f t="shared" si="99"/>
        <v>0</v>
      </c>
      <c r="GP76">
        <f t="shared" si="100"/>
        <v>4909.53</v>
      </c>
      <c r="GR76">
        <v>0</v>
      </c>
      <c r="GS76">
        <v>3</v>
      </c>
      <c r="GT76">
        <v>0</v>
      </c>
      <c r="GU76" t="s">
        <v>3</v>
      </c>
      <c r="GV76">
        <f t="shared" si="101"/>
        <v>0</v>
      </c>
      <c r="GW76">
        <v>1</v>
      </c>
      <c r="GX76">
        <f t="shared" si="102"/>
        <v>0</v>
      </c>
      <c r="HA76">
        <v>0</v>
      </c>
      <c r="HB76">
        <v>0</v>
      </c>
      <c r="HC76">
        <f t="shared" si="103"/>
        <v>0</v>
      </c>
      <c r="HE76" t="s">
        <v>3</v>
      </c>
      <c r="HF76" t="s">
        <v>3</v>
      </c>
      <c r="IK76">
        <v>0</v>
      </c>
    </row>
    <row r="77" spans="1:245" x14ac:dyDescent="0.2">
      <c r="A77">
        <v>17</v>
      </c>
      <c r="B77">
        <v>1</v>
      </c>
      <c r="E77" t="s">
        <v>155</v>
      </c>
      <c r="F77" t="s">
        <v>156</v>
      </c>
      <c r="G77" t="s">
        <v>157</v>
      </c>
      <c r="H77" t="s">
        <v>158</v>
      </c>
      <c r="I77">
        <v>4</v>
      </c>
      <c r="J77">
        <v>0</v>
      </c>
      <c r="O77">
        <f t="shared" si="66"/>
        <v>10325.459999999999</v>
      </c>
      <c r="P77">
        <f t="shared" si="67"/>
        <v>0</v>
      </c>
      <c r="Q77">
        <f t="shared" si="68"/>
        <v>0</v>
      </c>
      <c r="R77">
        <f t="shared" si="69"/>
        <v>0</v>
      </c>
      <c r="S77">
        <f t="shared" si="70"/>
        <v>10325.459999999999</v>
      </c>
      <c r="T77">
        <f t="shared" si="71"/>
        <v>0</v>
      </c>
      <c r="U77">
        <f t="shared" si="72"/>
        <v>33.695999999999998</v>
      </c>
      <c r="V77">
        <f t="shared" si="73"/>
        <v>0</v>
      </c>
      <c r="W77">
        <f t="shared" si="74"/>
        <v>0</v>
      </c>
      <c r="X77">
        <f t="shared" si="75"/>
        <v>7021.31</v>
      </c>
      <c r="Y77">
        <f t="shared" si="76"/>
        <v>4233.4399999999996</v>
      </c>
      <c r="AA77">
        <v>23680976</v>
      </c>
      <c r="AB77">
        <f t="shared" si="77"/>
        <v>126.5368</v>
      </c>
      <c r="AC77">
        <f t="shared" si="78"/>
        <v>0</v>
      </c>
      <c r="AD77">
        <f t="shared" si="79"/>
        <v>0</v>
      </c>
      <c r="AE77">
        <f t="shared" si="80"/>
        <v>0</v>
      </c>
      <c r="AF77">
        <f>ROUND((((EV77*1.3)*0.8)),6)</f>
        <v>126.5368</v>
      </c>
      <c r="AG77">
        <f t="shared" si="81"/>
        <v>0</v>
      </c>
      <c r="AH77">
        <f>(((EW77*1.3)*0.8))</f>
        <v>8.4239999999999995</v>
      </c>
      <c r="AI77">
        <f t="shared" si="82"/>
        <v>0</v>
      </c>
      <c r="AJ77">
        <f t="shared" si="83"/>
        <v>0</v>
      </c>
      <c r="AK77">
        <v>121.67</v>
      </c>
      <c r="AL77">
        <v>0</v>
      </c>
      <c r="AM77">
        <v>0</v>
      </c>
      <c r="AN77">
        <v>0</v>
      </c>
      <c r="AO77">
        <v>121.67</v>
      </c>
      <c r="AP77">
        <v>0</v>
      </c>
      <c r="AQ77">
        <v>8.1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20.399999999999999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159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249</v>
      </c>
      <c r="CO77">
        <v>0</v>
      </c>
      <c r="CP77">
        <f t="shared" si="84"/>
        <v>10325.459999999999</v>
      </c>
      <c r="CQ77">
        <f t="shared" si="85"/>
        <v>0</v>
      </c>
      <c r="CR77">
        <f t="shared" si="86"/>
        <v>0</v>
      </c>
      <c r="CS77">
        <f t="shared" si="87"/>
        <v>0</v>
      </c>
      <c r="CT77">
        <f t="shared" si="88"/>
        <v>2581.42</v>
      </c>
      <c r="CU77">
        <f t="shared" si="89"/>
        <v>0</v>
      </c>
      <c r="CV77">
        <f t="shared" si="90"/>
        <v>8.4239999999999995</v>
      </c>
      <c r="CW77">
        <f t="shared" si="91"/>
        <v>0</v>
      </c>
      <c r="CX77">
        <f t="shared" si="92"/>
        <v>0</v>
      </c>
      <c r="CY77">
        <f t="shared" si="93"/>
        <v>7021.3127999999997</v>
      </c>
      <c r="CZ77">
        <f t="shared" si="94"/>
        <v>4233.4385999999995</v>
      </c>
      <c r="DC77" t="s">
        <v>3</v>
      </c>
      <c r="DD77" t="s">
        <v>3</v>
      </c>
      <c r="DE77" t="s">
        <v>3</v>
      </c>
      <c r="DF77" t="s">
        <v>3</v>
      </c>
      <c r="DG77" t="s">
        <v>146</v>
      </c>
      <c r="DH77" t="s">
        <v>3</v>
      </c>
      <c r="DI77" t="s">
        <v>146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1013</v>
      </c>
      <c r="DV77" t="s">
        <v>158</v>
      </c>
      <c r="DW77" t="s">
        <v>158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147</v>
      </c>
      <c r="EH77">
        <v>0</v>
      </c>
      <c r="EI77" t="s">
        <v>3</v>
      </c>
      <c r="EJ77">
        <v>4</v>
      </c>
      <c r="EK77">
        <v>381</v>
      </c>
      <c r="EL77" t="s">
        <v>148</v>
      </c>
      <c r="EM77" t="s">
        <v>149</v>
      </c>
      <c r="EO77" t="s">
        <v>150</v>
      </c>
      <c r="EQ77">
        <v>0</v>
      </c>
      <c r="ER77">
        <v>121.67</v>
      </c>
      <c r="ES77">
        <v>0</v>
      </c>
      <c r="ET77">
        <v>0</v>
      </c>
      <c r="EU77">
        <v>0</v>
      </c>
      <c r="EV77">
        <v>121.67</v>
      </c>
      <c r="EW77">
        <v>8.1</v>
      </c>
      <c r="EX77">
        <v>0</v>
      </c>
      <c r="EY77">
        <v>0</v>
      </c>
      <c r="FQ77">
        <v>0</v>
      </c>
      <c r="FR77">
        <f t="shared" si="95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337154466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6"/>
        <v>0</v>
      </c>
      <c r="GM77">
        <f t="shared" si="97"/>
        <v>21580.21</v>
      </c>
      <c r="GN77">
        <f t="shared" si="98"/>
        <v>0</v>
      </c>
      <c r="GO77">
        <f t="shared" si="99"/>
        <v>0</v>
      </c>
      <c r="GP77">
        <f t="shared" si="100"/>
        <v>21580.21</v>
      </c>
      <c r="GR77">
        <v>0</v>
      </c>
      <c r="GS77">
        <v>3</v>
      </c>
      <c r="GT77">
        <v>0</v>
      </c>
      <c r="GU77" t="s">
        <v>3</v>
      </c>
      <c r="GV77">
        <f t="shared" si="101"/>
        <v>0</v>
      </c>
      <c r="GW77">
        <v>1</v>
      </c>
      <c r="GX77">
        <f t="shared" si="102"/>
        <v>0</v>
      </c>
      <c r="HA77">
        <v>0</v>
      </c>
      <c r="HB77">
        <v>0</v>
      </c>
      <c r="HC77">
        <f t="shared" si="103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E78" t="s">
        <v>160</v>
      </c>
      <c r="F78" t="s">
        <v>161</v>
      </c>
      <c r="G78" t="s">
        <v>162</v>
      </c>
      <c r="H78" t="s">
        <v>36</v>
      </c>
      <c r="I78">
        <v>1</v>
      </c>
      <c r="J78">
        <v>0</v>
      </c>
      <c r="O78">
        <f t="shared" si="66"/>
        <v>13298.31</v>
      </c>
      <c r="P78">
        <f t="shared" si="67"/>
        <v>0</v>
      </c>
      <c r="Q78">
        <f t="shared" si="68"/>
        <v>0</v>
      </c>
      <c r="R78">
        <f t="shared" si="69"/>
        <v>0</v>
      </c>
      <c r="S78">
        <f t="shared" si="70"/>
        <v>13298.31</v>
      </c>
      <c r="T78">
        <f t="shared" si="71"/>
        <v>0</v>
      </c>
      <c r="U78">
        <f t="shared" si="72"/>
        <v>32.24</v>
      </c>
      <c r="V78">
        <f t="shared" si="73"/>
        <v>0</v>
      </c>
      <c r="W78">
        <f t="shared" si="74"/>
        <v>0</v>
      </c>
      <c r="X78">
        <f t="shared" si="75"/>
        <v>9042.85</v>
      </c>
      <c r="Y78">
        <f t="shared" si="76"/>
        <v>5452.31</v>
      </c>
      <c r="AA78">
        <v>23680976</v>
      </c>
      <c r="AB78">
        <f t="shared" si="77"/>
        <v>535.78719999999998</v>
      </c>
      <c r="AC78">
        <f t="shared" si="78"/>
        <v>0</v>
      </c>
      <c r="AD78">
        <f t="shared" si="79"/>
        <v>0</v>
      </c>
      <c r="AE78">
        <f t="shared" si="80"/>
        <v>0</v>
      </c>
      <c r="AF78">
        <f>ROUND((((EV78*1.3)*0.8)),6)</f>
        <v>535.78719999999998</v>
      </c>
      <c r="AG78">
        <f t="shared" si="81"/>
        <v>0</v>
      </c>
      <c r="AH78">
        <f>(((EW78*1.3)*0.8))</f>
        <v>32.24</v>
      </c>
      <c r="AI78">
        <f t="shared" si="82"/>
        <v>0</v>
      </c>
      <c r="AJ78">
        <f t="shared" si="83"/>
        <v>0</v>
      </c>
      <c r="AK78">
        <v>515.17999999999995</v>
      </c>
      <c r="AL78">
        <v>0</v>
      </c>
      <c r="AM78">
        <v>0</v>
      </c>
      <c r="AN78">
        <v>0</v>
      </c>
      <c r="AO78">
        <v>515.17999999999995</v>
      </c>
      <c r="AP78">
        <v>0</v>
      </c>
      <c r="AQ78">
        <v>31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24.82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163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249</v>
      </c>
      <c r="CO78">
        <v>0</v>
      </c>
      <c r="CP78">
        <f t="shared" si="84"/>
        <v>13298.31</v>
      </c>
      <c r="CQ78">
        <f t="shared" si="85"/>
        <v>0</v>
      </c>
      <c r="CR78">
        <f t="shared" si="86"/>
        <v>0</v>
      </c>
      <c r="CS78">
        <f t="shared" si="87"/>
        <v>0</v>
      </c>
      <c r="CT78">
        <f t="shared" si="88"/>
        <v>13298.31</v>
      </c>
      <c r="CU78">
        <f t="shared" si="89"/>
        <v>0</v>
      </c>
      <c r="CV78">
        <f t="shared" si="90"/>
        <v>32.24</v>
      </c>
      <c r="CW78">
        <f t="shared" si="91"/>
        <v>0</v>
      </c>
      <c r="CX78">
        <f t="shared" si="92"/>
        <v>0</v>
      </c>
      <c r="CY78">
        <f t="shared" si="93"/>
        <v>9042.8508000000002</v>
      </c>
      <c r="CZ78">
        <f t="shared" si="94"/>
        <v>5452.3070999999991</v>
      </c>
      <c r="DC78" t="s">
        <v>3</v>
      </c>
      <c r="DD78" t="s">
        <v>3</v>
      </c>
      <c r="DE78" t="s">
        <v>3</v>
      </c>
      <c r="DF78" t="s">
        <v>3</v>
      </c>
      <c r="DG78" t="s">
        <v>146</v>
      </c>
      <c r="DH78" t="s">
        <v>3</v>
      </c>
      <c r="DI78" t="s">
        <v>146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1010</v>
      </c>
      <c r="DV78" t="s">
        <v>36</v>
      </c>
      <c r="DW78" t="s">
        <v>36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147</v>
      </c>
      <c r="EH78">
        <v>0</v>
      </c>
      <c r="EI78" t="s">
        <v>3</v>
      </c>
      <c r="EJ78">
        <v>4</v>
      </c>
      <c r="EK78">
        <v>381</v>
      </c>
      <c r="EL78" t="s">
        <v>148</v>
      </c>
      <c r="EM78" t="s">
        <v>149</v>
      </c>
      <c r="EO78" t="s">
        <v>150</v>
      </c>
      <c r="EQ78">
        <v>0</v>
      </c>
      <c r="ER78">
        <v>515.17999999999995</v>
      </c>
      <c r="ES78">
        <v>0</v>
      </c>
      <c r="ET78">
        <v>0</v>
      </c>
      <c r="EU78">
        <v>0</v>
      </c>
      <c r="EV78">
        <v>515.17999999999995</v>
      </c>
      <c r="EW78">
        <v>31</v>
      </c>
      <c r="EX78">
        <v>0</v>
      </c>
      <c r="EY78">
        <v>0</v>
      </c>
      <c r="FQ78">
        <v>0</v>
      </c>
      <c r="FR78">
        <f t="shared" si="95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311902797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6"/>
        <v>0</v>
      </c>
      <c r="GM78">
        <f t="shared" si="97"/>
        <v>27793.47</v>
      </c>
      <c r="GN78">
        <f t="shared" si="98"/>
        <v>0</v>
      </c>
      <c r="GO78">
        <f t="shared" si="99"/>
        <v>0</v>
      </c>
      <c r="GP78">
        <f t="shared" si="100"/>
        <v>27793.47</v>
      </c>
      <c r="GR78">
        <v>0</v>
      </c>
      <c r="GS78">
        <v>0</v>
      </c>
      <c r="GT78">
        <v>0</v>
      </c>
      <c r="GU78" t="s">
        <v>3</v>
      </c>
      <c r="GV78">
        <f t="shared" si="101"/>
        <v>0</v>
      </c>
      <c r="GW78">
        <v>1</v>
      </c>
      <c r="GX78">
        <f t="shared" si="102"/>
        <v>0</v>
      </c>
      <c r="HA78">
        <v>0</v>
      </c>
      <c r="HB78">
        <v>0</v>
      </c>
      <c r="HC78">
        <f t="shared" si="103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164</v>
      </c>
      <c r="F79" t="s">
        <v>165</v>
      </c>
      <c r="G79" t="s">
        <v>166</v>
      </c>
      <c r="H79" t="s">
        <v>36</v>
      </c>
      <c r="I79">
        <v>2</v>
      </c>
      <c r="J79">
        <v>0</v>
      </c>
      <c r="O79">
        <f t="shared" si="66"/>
        <v>5631.11</v>
      </c>
      <c r="P79">
        <f t="shared" si="67"/>
        <v>0</v>
      </c>
      <c r="Q79">
        <f t="shared" si="68"/>
        <v>0</v>
      </c>
      <c r="R79">
        <f t="shared" si="69"/>
        <v>0</v>
      </c>
      <c r="S79">
        <f t="shared" si="70"/>
        <v>5631.11</v>
      </c>
      <c r="T79">
        <f t="shared" si="71"/>
        <v>0</v>
      </c>
      <c r="U79">
        <f t="shared" si="72"/>
        <v>13.824000000000002</v>
      </c>
      <c r="V79">
        <f t="shared" si="73"/>
        <v>0</v>
      </c>
      <c r="W79">
        <f t="shared" si="74"/>
        <v>0</v>
      </c>
      <c r="X79">
        <f t="shared" si="75"/>
        <v>3829.15</v>
      </c>
      <c r="Y79">
        <f t="shared" si="76"/>
        <v>2308.7600000000002</v>
      </c>
      <c r="AA79">
        <v>23680976</v>
      </c>
      <c r="AB79">
        <f t="shared" si="77"/>
        <v>114.77760000000001</v>
      </c>
      <c r="AC79">
        <f t="shared" si="78"/>
        <v>0</v>
      </c>
      <c r="AD79">
        <f t="shared" si="79"/>
        <v>0</v>
      </c>
      <c r="AE79">
        <f t="shared" si="80"/>
        <v>0</v>
      </c>
      <c r="AF79">
        <f>ROUND((((EV79*1.2)*0.8)),6)</f>
        <v>114.77760000000001</v>
      </c>
      <c r="AG79">
        <f t="shared" si="81"/>
        <v>0</v>
      </c>
      <c r="AH79">
        <f>(((EW79*1.2)*0.8))</f>
        <v>6.9120000000000008</v>
      </c>
      <c r="AI79">
        <f t="shared" si="82"/>
        <v>0</v>
      </c>
      <c r="AJ79">
        <f t="shared" si="83"/>
        <v>0</v>
      </c>
      <c r="AK79">
        <v>119.56</v>
      </c>
      <c r="AL79">
        <v>0</v>
      </c>
      <c r="AM79">
        <v>0</v>
      </c>
      <c r="AN79">
        <v>0</v>
      </c>
      <c r="AO79">
        <v>119.56</v>
      </c>
      <c r="AP79">
        <v>0</v>
      </c>
      <c r="AQ79">
        <v>7.2</v>
      </c>
      <c r="AR79">
        <v>0</v>
      </c>
      <c r="AS79">
        <v>0</v>
      </c>
      <c r="AT79">
        <v>68</v>
      </c>
      <c r="AU79">
        <v>41</v>
      </c>
      <c r="AV79">
        <v>1</v>
      </c>
      <c r="AW79">
        <v>1</v>
      </c>
      <c r="AZ79">
        <v>1</v>
      </c>
      <c r="BA79">
        <v>24.53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167</v>
      </c>
      <c r="BM79">
        <v>381</v>
      </c>
      <c r="BN79">
        <v>0</v>
      </c>
      <c r="BO79" t="s">
        <v>3</v>
      </c>
      <c r="BP79">
        <v>0</v>
      </c>
      <c r="BQ79">
        <v>50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68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250</v>
      </c>
      <c r="CO79">
        <v>0</v>
      </c>
      <c r="CP79">
        <f t="shared" si="84"/>
        <v>5631.11</v>
      </c>
      <c r="CQ79">
        <f t="shared" si="85"/>
        <v>0</v>
      </c>
      <c r="CR79">
        <f t="shared" si="86"/>
        <v>0</v>
      </c>
      <c r="CS79">
        <f t="shared" si="87"/>
        <v>0</v>
      </c>
      <c r="CT79">
        <f t="shared" si="88"/>
        <v>2815.55</v>
      </c>
      <c r="CU79">
        <f t="shared" si="89"/>
        <v>0</v>
      </c>
      <c r="CV79">
        <f t="shared" si="90"/>
        <v>6.9120000000000008</v>
      </c>
      <c r="CW79">
        <f t="shared" si="91"/>
        <v>0</v>
      </c>
      <c r="CX79">
        <f t="shared" si="92"/>
        <v>0</v>
      </c>
      <c r="CY79">
        <f t="shared" si="93"/>
        <v>3829.1548000000003</v>
      </c>
      <c r="CZ79">
        <f t="shared" si="94"/>
        <v>2308.7550999999999</v>
      </c>
      <c r="DC79" t="s">
        <v>3</v>
      </c>
      <c r="DD79" t="s">
        <v>3</v>
      </c>
      <c r="DE79" t="s">
        <v>3</v>
      </c>
      <c r="DF79" t="s">
        <v>3</v>
      </c>
      <c r="DG79" t="s">
        <v>168</v>
      </c>
      <c r="DH79" t="s">
        <v>3</v>
      </c>
      <c r="DI79" t="s">
        <v>168</v>
      </c>
      <c r="DJ79" t="s">
        <v>3</v>
      </c>
      <c r="DK79" t="s">
        <v>3</v>
      </c>
      <c r="DL79" t="s">
        <v>3</v>
      </c>
      <c r="DM79" t="s">
        <v>3</v>
      </c>
      <c r="DN79">
        <v>75</v>
      </c>
      <c r="DO79">
        <v>70</v>
      </c>
      <c r="DP79">
        <v>1</v>
      </c>
      <c r="DQ79">
        <v>1</v>
      </c>
      <c r="DU79">
        <v>1010</v>
      </c>
      <c r="DV79" t="s">
        <v>36</v>
      </c>
      <c r="DW79" t="s">
        <v>36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22827222</v>
      </c>
      <c r="EF79">
        <v>50</v>
      </c>
      <c r="EG79" t="s">
        <v>147</v>
      </c>
      <c r="EH79">
        <v>0</v>
      </c>
      <c r="EI79" t="s">
        <v>3</v>
      </c>
      <c r="EJ79">
        <v>4</v>
      </c>
      <c r="EK79">
        <v>381</v>
      </c>
      <c r="EL79" t="s">
        <v>148</v>
      </c>
      <c r="EM79" t="s">
        <v>149</v>
      </c>
      <c r="EO79" t="s">
        <v>169</v>
      </c>
      <c r="EQ79">
        <v>0</v>
      </c>
      <c r="ER79">
        <v>119.56</v>
      </c>
      <c r="ES79">
        <v>0</v>
      </c>
      <c r="ET79">
        <v>0</v>
      </c>
      <c r="EU79">
        <v>0</v>
      </c>
      <c r="EV79">
        <v>119.56</v>
      </c>
      <c r="EW79">
        <v>7.2</v>
      </c>
      <c r="EX79">
        <v>0</v>
      </c>
      <c r="EY79">
        <v>0</v>
      </c>
      <c r="FQ79">
        <v>0</v>
      </c>
      <c r="FR79">
        <f t="shared" si="95"/>
        <v>0</v>
      </c>
      <c r="FS79">
        <v>0</v>
      </c>
      <c r="FX79">
        <v>75</v>
      </c>
      <c r="FY79">
        <v>70</v>
      </c>
      <c r="GA79" t="s">
        <v>3</v>
      </c>
      <c r="GD79">
        <v>0</v>
      </c>
      <c r="GF79">
        <v>1062057657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96"/>
        <v>0</v>
      </c>
      <c r="GM79">
        <f t="shared" si="97"/>
        <v>11769.02</v>
      </c>
      <c r="GN79">
        <f t="shared" si="98"/>
        <v>0</v>
      </c>
      <c r="GO79">
        <f t="shared" si="99"/>
        <v>0</v>
      </c>
      <c r="GP79">
        <f t="shared" si="100"/>
        <v>11769.02</v>
      </c>
      <c r="GR79">
        <v>0</v>
      </c>
      <c r="GS79">
        <v>3</v>
      </c>
      <c r="GT79">
        <v>0</v>
      </c>
      <c r="GU79" t="s">
        <v>3</v>
      </c>
      <c r="GV79">
        <f t="shared" si="101"/>
        <v>0</v>
      </c>
      <c r="GW79">
        <v>1</v>
      </c>
      <c r="GX79">
        <f t="shared" si="102"/>
        <v>0</v>
      </c>
      <c r="HA79">
        <v>0</v>
      </c>
      <c r="HB79">
        <v>0</v>
      </c>
      <c r="HC79">
        <f t="shared" si="103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170</v>
      </c>
      <c r="F80" t="s">
        <v>171</v>
      </c>
      <c r="G80" t="s">
        <v>172</v>
      </c>
      <c r="H80" t="s">
        <v>173</v>
      </c>
      <c r="I80">
        <v>32</v>
      </c>
      <c r="J80">
        <v>0</v>
      </c>
      <c r="O80">
        <f t="shared" si="66"/>
        <v>1957.55</v>
      </c>
      <c r="P80">
        <f t="shared" si="67"/>
        <v>0</v>
      </c>
      <c r="Q80">
        <f t="shared" si="68"/>
        <v>0</v>
      </c>
      <c r="R80">
        <f t="shared" si="69"/>
        <v>0</v>
      </c>
      <c r="S80">
        <f t="shared" si="70"/>
        <v>1957.55</v>
      </c>
      <c r="T80">
        <f t="shared" si="71"/>
        <v>0</v>
      </c>
      <c r="U80">
        <f t="shared" si="72"/>
        <v>4.9920000000000009</v>
      </c>
      <c r="V80">
        <f t="shared" si="73"/>
        <v>0</v>
      </c>
      <c r="W80">
        <f t="shared" si="74"/>
        <v>0</v>
      </c>
      <c r="X80">
        <f t="shared" si="75"/>
        <v>1331.13</v>
      </c>
      <c r="Y80">
        <f t="shared" si="76"/>
        <v>802.6</v>
      </c>
      <c r="AA80">
        <v>23680976</v>
      </c>
      <c r="AB80">
        <f t="shared" si="77"/>
        <v>2.4647999999999999</v>
      </c>
      <c r="AC80">
        <f t="shared" si="78"/>
        <v>0</v>
      </c>
      <c r="AD80">
        <f t="shared" si="79"/>
        <v>0</v>
      </c>
      <c r="AE80">
        <f t="shared" si="80"/>
        <v>0</v>
      </c>
      <c r="AF80">
        <f t="shared" ref="AF80:AF85" si="104">ROUND((((EV80*1.3)*0.8)),6)</f>
        <v>2.4647999999999999</v>
      </c>
      <c r="AG80">
        <f t="shared" si="81"/>
        <v>0</v>
      </c>
      <c r="AH80">
        <f t="shared" ref="AH80:AH85" si="105">(((EW80*1.3)*0.8))</f>
        <v>0.15600000000000003</v>
      </c>
      <c r="AI80">
        <f t="shared" si="82"/>
        <v>0</v>
      </c>
      <c r="AJ80">
        <f t="shared" si="83"/>
        <v>0</v>
      </c>
      <c r="AK80">
        <v>2.37</v>
      </c>
      <c r="AL80">
        <v>0</v>
      </c>
      <c r="AM80">
        <v>0</v>
      </c>
      <c r="AN80">
        <v>0</v>
      </c>
      <c r="AO80">
        <v>2.37</v>
      </c>
      <c r="AP80">
        <v>0</v>
      </c>
      <c r="AQ80">
        <v>0.15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24.82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174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250</v>
      </c>
      <c r="CO80">
        <v>0</v>
      </c>
      <c r="CP80">
        <f t="shared" si="84"/>
        <v>1957.55</v>
      </c>
      <c r="CQ80">
        <f t="shared" si="85"/>
        <v>0</v>
      </c>
      <c r="CR80">
        <f t="shared" si="86"/>
        <v>0</v>
      </c>
      <c r="CS80">
        <f t="shared" si="87"/>
        <v>0</v>
      </c>
      <c r="CT80">
        <f t="shared" si="88"/>
        <v>61.06</v>
      </c>
      <c r="CU80">
        <f t="shared" si="89"/>
        <v>0</v>
      </c>
      <c r="CV80">
        <f t="shared" si="90"/>
        <v>0.15600000000000003</v>
      </c>
      <c r="CW80">
        <f t="shared" si="91"/>
        <v>0</v>
      </c>
      <c r="CX80">
        <f t="shared" si="92"/>
        <v>0</v>
      </c>
      <c r="CY80">
        <f t="shared" si="93"/>
        <v>1331.134</v>
      </c>
      <c r="CZ80">
        <f t="shared" si="94"/>
        <v>802.5954999999999</v>
      </c>
      <c r="DC80" t="s">
        <v>3</v>
      </c>
      <c r="DD80" t="s">
        <v>3</v>
      </c>
      <c r="DE80" t="s">
        <v>3</v>
      </c>
      <c r="DF80" t="s">
        <v>3</v>
      </c>
      <c r="DG80" t="s">
        <v>146</v>
      </c>
      <c r="DH80" t="s">
        <v>3</v>
      </c>
      <c r="DI80" t="s">
        <v>146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1013</v>
      </c>
      <c r="DV80" t="s">
        <v>173</v>
      </c>
      <c r="DW80" t="s">
        <v>173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147</v>
      </c>
      <c r="EH80">
        <v>0</v>
      </c>
      <c r="EI80" t="s">
        <v>3</v>
      </c>
      <c r="EJ80">
        <v>4</v>
      </c>
      <c r="EK80">
        <v>381</v>
      </c>
      <c r="EL80" t="s">
        <v>148</v>
      </c>
      <c r="EM80" t="s">
        <v>149</v>
      </c>
      <c r="EO80" t="s">
        <v>150</v>
      </c>
      <c r="EQ80">
        <v>0</v>
      </c>
      <c r="ER80">
        <v>2.37</v>
      </c>
      <c r="ES80">
        <v>0</v>
      </c>
      <c r="ET80">
        <v>0</v>
      </c>
      <c r="EU80">
        <v>0</v>
      </c>
      <c r="EV80">
        <v>2.37</v>
      </c>
      <c r="EW80">
        <v>0.15</v>
      </c>
      <c r="EX80">
        <v>0</v>
      </c>
      <c r="EY80">
        <v>0</v>
      </c>
      <c r="FQ80">
        <v>0</v>
      </c>
      <c r="FR80">
        <f t="shared" si="95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1785522873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6"/>
        <v>0</v>
      </c>
      <c r="GM80">
        <f t="shared" si="97"/>
        <v>4091.28</v>
      </c>
      <c r="GN80">
        <f t="shared" si="98"/>
        <v>0</v>
      </c>
      <c r="GO80">
        <f t="shared" si="99"/>
        <v>0</v>
      </c>
      <c r="GP80">
        <f t="shared" si="100"/>
        <v>4091.28</v>
      </c>
      <c r="GR80">
        <v>0</v>
      </c>
      <c r="GS80">
        <v>0</v>
      </c>
      <c r="GT80">
        <v>0</v>
      </c>
      <c r="GU80" t="s">
        <v>3</v>
      </c>
      <c r="GV80">
        <f t="shared" si="101"/>
        <v>0</v>
      </c>
      <c r="GW80">
        <v>1</v>
      </c>
      <c r="GX80">
        <f t="shared" si="102"/>
        <v>0</v>
      </c>
      <c r="HA80">
        <v>0</v>
      </c>
      <c r="HB80">
        <v>0</v>
      </c>
      <c r="HC80">
        <f t="shared" si="103"/>
        <v>0</v>
      </c>
      <c r="HE80" t="s">
        <v>3</v>
      </c>
      <c r="HF80" t="s">
        <v>3</v>
      </c>
      <c r="IK80">
        <v>0</v>
      </c>
    </row>
    <row r="81" spans="1:245" x14ac:dyDescent="0.2">
      <c r="A81">
        <v>17</v>
      </c>
      <c r="B81">
        <v>1</v>
      </c>
      <c r="E81" t="s">
        <v>175</v>
      </c>
      <c r="F81" t="s">
        <v>176</v>
      </c>
      <c r="G81" t="s">
        <v>177</v>
      </c>
      <c r="H81" t="s">
        <v>178</v>
      </c>
      <c r="I81">
        <v>8</v>
      </c>
      <c r="J81">
        <v>0</v>
      </c>
      <c r="O81">
        <f t="shared" si="66"/>
        <v>3269.04</v>
      </c>
      <c r="P81">
        <f t="shared" si="67"/>
        <v>0</v>
      </c>
      <c r="Q81">
        <f t="shared" si="68"/>
        <v>0</v>
      </c>
      <c r="R81">
        <f t="shared" si="69"/>
        <v>0</v>
      </c>
      <c r="S81">
        <f t="shared" si="70"/>
        <v>3269.04</v>
      </c>
      <c r="T81">
        <f t="shared" si="71"/>
        <v>0</v>
      </c>
      <c r="U81">
        <f t="shared" si="72"/>
        <v>8.32</v>
      </c>
      <c r="V81">
        <f t="shared" si="73"/>
        <v>0</v>
      </c>
      <c r="W81">
        <f t="shared" si="74"/>
        <v>0</v>
      </c>
      <c r="X81">
        <f t="shared" si="75"/>
        <v>2222.9499999999998</v>
      </c>
      <c r="Y81">
        <f t="shared" si="76"/>
        <v>1340.31</v>
      </c>
      <c r="AA81">
        <v>23680976</v>
      </c>
      <c r="AB81">
        <f t="shared" si="77"/>
        <v>16.463200000000001</v>
      </c>
      <c r="AC81">
        <f t="shared" si="78"/>
        <v>0</v>
      </c>
      <c r="AD81">
        <f t="shared" si="79"/>
        <v>0</v>
      </c>
      <c r="AE81">
        <f t="shared" si="80"/>
        <v>0</v>
      </c>
      <c r="AF81">
        <f t="shared" si="104"/>
        <v>16.463200000000001</v>
      </c>
      <c r="AG81">
        <f t="shared" si="81"/>
        <v>0</v>
      </c>
      <c r="AH81">
        <f t="shared" si="105"/>
        <v>1.04</v>
      </c>
      <c r="AI81">
        <f t="shared" si="82"/>
        <v>0</v>
      </c>
      <c r="AJ81">
        <f t="shared" si="83"/>
        <v>0</v>
      </c>
      <c r="AK81">
        <v>15.83</v>
      </c>
      <c r="AL81">
        <v>0</v>
      </c>
      <c r="AM81">
        <v>0</v>
      </c>
      <c r="AN81">
        <v>0</v>
      </c>
      <c r="AO81">
        <v>15.83</v>
      </c>
      <c r="AP81">
        <v>0</v>
      </c>
      <c r="AQ81">
        <v>1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24.82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179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249</v>
      </c>
      <c r="CO81">
        <v>0</v>
      </c>
      <c r="CP81">
        <f t="shared" si="84"/>
        <v>3269.04</v>
      </c>
      <c r="CQ81">
        <f t="shared" si="85"/>
        <v>0</v>
      </c>
      <c r="CR81">
        <f t="shared" si="86"/>
        <v>0</v>
      </c>
      <c r="CS81">
        <f t="shared" si="87"/>
        <v>0</v>
      </c>
      <c r="CT81">
        <f t="shared" si="88"/>
        <v>408.54</v>
      </c>
      <c r="CU81">
        <f t="shared" si="89"/>
        <v>0</v>
      </c>
      <c r="CV81">
        <f t="shared" si="90"/>
        <v>1.04</v>
      </c>
      <c r="CW81">
        <f t="shared" si="91"/>
        <v>0</v>
      </c>
      <c r="CX81">
        <f t="shared" si="92"/>
        <v>0</v>
      </c>
      <c r="CY81">
        <f t="shared" si="93"/>
        <v>2222.9472000000001</v>
      </c>
      <c r="CZ81">
        <f t="shared" si="94"/>
        <v>1340.3063999999999</v>
      </c>
      <c r="DC81" t="s">
        <v>3</v>
      </c>
      <c r="DD81" t="s">
        <v>3</v>
      </c>
      <c r="DE81" t="s">
        <v>3</v>
      </c>
      <c r="DF81" t="s">
        <v>3</v>
      </c>
      <c r="DG81" t="s">
        <v>146</v>
      </c>
      <c r="DH81" t="s">
        <v>3</v>
      </c>
      <c r="DI81" t="s">
        <v>146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178</v>
      </c>
      <c r="DW81" t="s">
        <v>178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147</v>
      </c>
      <c r="EH81">
        <v>0</v>
      </c>
      <c r="EI81" t="s">
        <v>3</v>
      </c>
      <c r="EJ81">
        <v>4</v>
      </c>
      <c r="EK81">
        <v>381</v>
      </c>
      <c r="EL81" t="s">
        <v>148</v>
      </c>
      <c r="EM81" t="s">
        <v>149</v>
      </c>
      <c r="EO81" t="s">
        <v>150</v>
      </c>
      <c r="EQ81">
        <v>0</v>
      </c>
      <c r="ER81">
        <v>15.83</v>
      </c>
      <c r="ES81">
        <v>0</v>
      </c>
      <c r="ET81">
        <v>0</v>
      </c>
      <c r="EU81">
        <v>0</v>
      </c>
      <c r="EV81">
        <v>15.83</v>
      </c>
      <c r="EW81">
        <v>1</v>
      </c>
      <c r="EX81">
        <v>0</v>
      </c>
      <c r="EY81">
        <v>0</v>
      </c>
      <c r="FQ81">
        <v>0</v>
      </c>
      <c r="FR81">
        <f t="shared" si="95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-723712631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6"/>
        <v>0</v>
      </c>
      <c r="GM81">
        <f t="shared" si="97"/>
        <v>6832.3</v>
      </c>
      <c r="GN81">
        <f t="shared" si="98"/>
        <v>0</v>
      </c>
      <c r="GO81">
        <f t="shared" si="99"/>
        <v>0</v>
      </c>
      <c r="GP81">
        <f t="shared" si="100"/>
        <v>6832.3</v>
      </c>
      <c r="GR81">
        <v>0</v>
      </c>
      <c r="GS81">
        <v>0</v>
      </c>
      <c r="GT81">
        <v>0</v>
      </c>
      <c r="GU81" t="s">
        <v>3</v>
      </c>
      <c r="GV81">
        <f t="shared" si="101"/>
        <v>0</v>
      </c>
      <c r="GW81">
        <v>1</v>
      </c>
      <c r="GX81">
        <f t="shared" si="102"/>
        <v>0</v>
      </c>
      <c r="HA81">
        <v>0</v>
      </c>
      <c r="HB81">
        <v>0</v>
      </c>
      <c r="HC81">
        <f t="shared" si="103"/>
        <v>0</v>
      </c>
      <c r="HE81" t="s">
        <v>3</v>
      </c>
      <c r="HF81" t="s">
        <v>3</v>
      </c>
      <c r="IK81">
        <v>0</v>
      </c>
    </row>
    <row r="82" spans="1:245" x14ac:dyDescent="0.2">
      <c r="A82">
        <v>17</v>
      </c>
      <c r="B82">
        <v>1</v>
      </c>
      <c r="E82" t="s">
        <v>180</v>
      </c>
      <c r="F82" t="s">
        <v>181</v>
      </c>
      <c r="G82" t="s">
        <v>182</v>
      </c>
      <c r="H82" t="s">
        <v>183</v>
      </c>
      <c r="I82">
        <v>8</v>
      </c>
      <c r="J82">
        <v>0</v>
      </c>
      <c r="O82">
        <f t="shared" si="66"/>
        <v>2940.67</v>
      </c>
      <c r="P82">
        <f t="shared" si="67"/>
        <v>0</v>
      </c>
      <c r="Q82">
        <f t="shared" si="68"/>
        <v>0</v>
      </c>
      <c r="R82">
        <f t="shared" si="69"/>
        <v>0</v>
      </c>
      <c r="S82">
        <f t="shared" si="70"/>
        <v>2940.67</v>
      </c>
      <c r="T82">
        <f t="shared" si="71"/>
        <v>0</v>
      </c>
      <c r="U82">
        <f t="shared" si="72"/>
        <v>7.4880000000000013</v>
      </c>
      <c r="V82">
        <f t="shared" si="73"/>
        <v>0</v>
      </c>
      <c r="W82">
        <f t="shared" si="74"/>
        <v>0</v>
      </c>
      <c r="X82">
        <f t="shared" si="75"/>
        <v>1999.66</v>
      </c>
      <c r="Y82">
        <f t="shared" si="76"/>
        <v>1205.67</v>
      </c>
      <c r="AA82">
        <v>23680976</v>
      </c>
      <c r="AB82">
        <f t="shared" si="77"/>
        <v>14.8096</v>
      </c>
      <c r="AC82">
        <f t="shared" si="78"/>
        <v>0</v>
      </c>
      <c r="AD82">
        <f t="shared" si="79"/>
        <v>0</v>
      </c>
      <c r="AE82">
        <f t="shared" si="80"/>
        <v>0</v>
      </c>
      <c r="AF82">
        <f t="shared" si="104"/>
        <v>14.8096</v>
      </c>
      <c r="AG82">
        <f t="shared" si="81"/>
        <v>0</v>
      </c>
      <c r="AH82">
        <f t="shared" si="105"/>
        <v>0.93600000000000017</v>
      </c>
      <c r="AI82">
        <f t="shared" si="82"/>
        <v>0</v>
      </c>
      <c r="AJ82">
        <f t="shared" si="83"/>
        <v>0</v>
      </c>
      <c r="AK82">
        <v>14.24</v>
      </c>
      <c r="AL82">
        <v>0</v>
      </c>
      <c r="AM82">
        <v>0</v>
      </c>
      <c r="AN82">
        <v>0</v>
      </c>
      <c r="AO82">
        <v>14.24</v>
      </c>
      <c r="AP82">
        <v>0</v>
      </c>
      <c r="AQ82">
        <v>0.9</v>
      </c>
      <c r="AR82">
        <v>0</v>
      </c>
      <c r="AS82">
        <v>0</v>
      </c>
      <c r="AT82">
        <v>68</v>
      </c>
      <c r="AU82">
        <v>41</v>
      </c>
      <c r="AV82">
        <v>1</v>
      </c>
      <c r="AW82">
        <v>1</v>
      </c>
      <c r="AZ82">
        <v>1</v>
      </c>
      <c r="BA82">
        <v>24.82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184</v>
      </c>
      <c r="BM82">
        <v>381</v>
      </c>
      <c r="BN82">
        <v>0</v>
      </c>
      <c r="BO82" t="s">
        <v>3</v>
      </c>
      <c r="BP82">
        <v>0</v>
      </c>
      <c r="BQ82">
        <v>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68</v>
      </c>
      <c r="CA82">
        <v>41</v>
      </c>
      <c r="CE82">
        <v>30</v>
      </c>
      <c r="CF82">
        <v>0</v>
      </c>
      <c r="CG82">
        <v>0</v>
      </c>
      <c r="CM82">
        <v>0</v>
      </c>
      <c r="CN82" t="s">
        <v>249</v>
      </c>
      <c r="CO82">
        <v>0</v>
      </c>
      <c r="CP82">
        <f t="shared" si="84"/>
        <v>2940.67</v>
      </c>
      <c r="CQ82">
        <f t="shared" si="85"/>
        <v>0</v>
      </c>
      <c r="CR82">
        <f t="shared" si="86"/>
        <v>0</v>
      </c>
      <c r="CS82">
        <f t="shared" si="87"/>
        <v>0</v>
      </c>
      <c r="CT82">
        <f t="shared" si="88"/>
        <v>367.58</v>
      </c>
      <c r="CU82">
        <f t="shared" si="89"/>
        <v>0</v>
      </c>
      <c r="CV82">
        <f t="shared" si="90"/>
        <v>0.93600000000000017</v>
      </c>
      <c r="CW82">
        <f t="shared" si="91"/>
        <v>0</v>
      </c>
      <c r="CX82">
        <f t="shared" si="92"/>
        <v>0</v>
      </c>
      <c r="CY82">
        <f t="shared" si="93"/>
        <v>1999.6556000000003</v>
      </c>
      <c r="CZ82">
        <f t="shared" si="94"/>
        <v>1205.6747</v>
      </c>
      <c r="DC82" t="s">
        <v>3</v>
      </c>
      <c r="DD82" t="s">
        <v>3</v>
      </c>
      <c r="DE82" t="s">
        <v>3</v>
      </c>
      <c r="DF82" t="s">
        <v>3</v>
      </c>
      <c r="DG82" t="s">
        <v>146</v>
      </c>
      <c r="DH82" t="s">
        <v>3</v>
      </c>
      <c r="DI82" t="s">
        <v>146</v>
      </c>
      <c r="DJ82" t="s">
        <v>3</v>
      </c>
      <c r="DK82" t="s">
        <v>3</v>
      </c>
      <c r="DL82" t="s">
        <v>3</v>
      </c>
      <c r="DM82" t="s">
        <v>3</v>
      </c>
      <c r="DN82">
        <v>75</v>
      </c>
      <c r="DO82">
        <v>70</v>
      </c>
      <c r="DP82">
        <v>1</v>
      </c>
      <c r="DQ82">
        <v>1</v>
      </c>
      <c r="DU82">
        <v>1013</v>
      </c>
      <c r="DV82" t="s">
        <v>183</v>
      </c>
      <c r="DW82" t="s">
        <v>183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22827222</v>
      </c>
      <c r="EF82">
        <v>50</v>
      </c>
      <c r="EG82" t="s">
        <v>147</v>
      </c>
      <c r="EH82">
        <v>0</v>
      </c>
      <c r="EI82" t="s">
        <v>3</v>
      </c>
      <c r="EJ82">
        <v>4</v>
      </c>
      <c r="EK82">
        <v>381</v>
      </c>
      <c r="EL82" t="s">
        <v>148</v>
      </c>
      <c r="EM82" t="s">
        <v>149</v>
      </c>
      <c r="EO82" t="s">
        <v>150</v>
      </c>
      <c r="EQ82">
        <v>0</v>
      </c>
      <c r="ER82">
        <v>14.24</v>
      </c>
      <c r="ES82">
        <v>0</v>
      </c>
      <c r="ET82">
        <v>0</v>
      </c>
      <c r="EU82">
        <v>0</v>
      </c>
      <c r="EV82">
        <v>14.24</v>
      </c>
      <c r="EW82">
        <v>0.9</v>
      </c>
      <c r="EX82">
        <v>0</v>
      </c>
      <c r="EY82">
        <v>0</v>
      </c>
      <c r="FQ82">
        <v>0</v>
      </c>
      <c r="FR82">
        <f t="shared" si="95"/>
        <v>0</v>
      </c>
      <c r="FS82">
        <v>0</v>
      </c>
      <c r="FX82">
        <v>75</v>
      </c>
      <c r="FY82">
        <v>70</v>
      </c>
      <c r="GA82" t="s">
        <v>3</v>
      </c>
      <c r="GD82">
        <v>0</v>
      </c>
      <c r="GF82">
        <v>-1941331641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96"/>
        <v>0</v>
      </c>
      <c r="GM82">
        <f t="shared" si="97"/>
        <v>6146</v>
      </c>
      <c r="GN82">
        <f t="shared" si="98"/>
        <v>0</v>
      </c>
      <c r="GO82">
        <f t="shared" si="99"/>
        <v>0</v>
      </c>
      <c r="GP82">
        <f t="shared" si="100"/>
        <v>6146</v>
      </c>
      <c r="GR82">
        <v>0</v>
      </c>
      <c r="GS82">
        <v>0</v>
      </c>
      <c r="GT82">
        <v>0</v>
      </c>
      <c r="GU82" t="s">
        <v>3</v>
      </c>
      <c r="GV82">
        <f t="shared" si="101"/>
        <v>0</v>
      </c>
      <c r="GW82">
        <v>1</v>
      </c>
      <c r="GX82">
        <f t="shared" si="102"/>
        <v>0</v>
      </c>
      <c r="HA82">
        <v>0</v>
      </c>
      <c r="HB82">
        <v>0</v>
      </c>
      <c r="HC82">
        <f t="shared" si="103"/>
        <v>0</v>
      </c>
      <c r="HE82" t="s">
        <v>3</v>
      </c>
      <c r="HF82" t="s">
        <v>3</v>
      </c>
      <c r="IK82">
        <v>0</v>
      </c>
    </row>
    <row r="83" spans="1:245" x14ac:dyDescent="0.2">
      <c r="A83">
        <v>17</v>
      </c>
      <c r="B83">
        <v>1</v>
      </c>
      <c r="E83" t="s">
        <v>185</v>
      </c>
      <c r="F83" t="s">
        <v>186</v>
      </c>
      <c r="G83" t="s">
        <v>187</v>
      </c>
      <c r="H83" t="s">
        <v>188</v>
      </c>
      <c r="I83">
        <v>27</v>
      </c>
      <c r="J83">
        <v>0</v>
      </c>
      <c r="O83">
        <f t="shared" si="66"/>
        <v>3972.69</v>
      </c>
      <c r="P83">
        <f t="shared" si="67"/>
        <v>0</v>
      </c>
      <c r="Q83">
        <f t="shared" si="68"/>
        <v>0</v>
      </c>
      <c r="R83">
        <f t="shared" si="69"/>
        <v>0</v>
      </c>
      <c r="S83">
        <f t="shared" si="70"/>
        <v>3972.69</v>
      </c>
      <c r="T83">
        <f t="shared" si="71"/>
        <v>0</v>
      </c>
      <c r="U83">
        <f t="shared" si="72"/>
        <v>10.1088</v>
      </c>
      <c r="V83">
        <f t="shared" si="73"/>
        <v>0</v>
      </c>
      <c r="W83">
        <f t="shared" si="74"/>
        <v>0</v>
      </c>
      <c r="X83">
        <f t="shared" si="75"/>
        <v>2701.43</v>
      </c>
      <c r="Y83">
        <f t="shared" si="76"/>
        <v>1628.8</v>
      </c>
      <c r="AA83">
        <v>23680976</v>
      </c>
      <c r="AB83">
        <f t="shared" si="77"/>
        <v>5.9279999999999999</v>
      </c>
      <c r="AC83">
        <f t="shared" si="78"/>
        <v>0</v>
      </c>
      <c r="AD83">
        <f t="shared" si="79"/>
        <v>0</v>
      </c>
      <c r="AE83">
        <f t="shared" si="80"/>
        <v>0</v>
      </c>
      <c r="AF83">
        <f t="shared" si="104"/>
        <v>5.9279999999999999</v>
      </c>
      <c r="AG83">
        <f t="shared" si="81"/>
        <v>0</v>
      </c>
      <c r="AH83">
        <f t="shared" si="105"/>
        <v>0.37440000000000001</v>
      </c>
      <c r="AI83">
        <f t="shared" si="82"/>
        <v>0</v>
      </c>
      <c r="AJ83">
        <f t="shared" si="83"/>
        <v>0</v>
      </c>
      <c r="AK83">
        <v>5.7</v>
      </c>
      <c r="AL83">
        <v>0</v>
      </c>
      <c r="AM83">
        <v>0</v>
      </c>
      <c r="AN83">
        <v>0</v>
      </c>
      <c r="AO83">
        <v>5.7</v>
      </c>
      <c r="AP83">
        <v>0</v>
      </c>
      <c r="AQ83">
        <v>0.36</v>
      </c>
      <c r="AR83">
        <v>0</v>
      </c>
      <c r="AS83">
        <v>0</v>
      </c>
      <c r="AT83">
        <v>68</v>
      </c>
      <c r="AU83">
        <v>41</v>
      </c>
      <c r="AV83">
        <v>1</v>
      </c>
      <c r="AW83">
        <v>1</v>
      </c>
      <c r="AZ83">
        <v>1</v>
      </c>
      <c r="BA83">
        <v>24.82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189</v>
      </c>
      <c r="BM83">
        <v>381</v>
      </c>
      <c r="BN83">
        <v>0</v>
      </c>
      <c r="BO83" t="s">
        <v>3</v>
      </c>
      <c r="BP83">
        <v>0</v>
      </c>
      <c r="BQ83">
        <v>50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68</v>
      </c>
      <c r="CA83">
        <v>41</v>
      </c>
      <c r="CE83">
        <v>30</v>
      </c>
      <c r="CF83">
        <v>0</v>
      </c>
      <c r="CG83">
        <v>0</v>
      </c>
      <c r="CM83">
        <v>0</v>
      </c>
      <c r="CN83" t="s">
        <v>249</v>
      </c>
      <c r="CO83">
        <v>0</v>
      </c>
      <c r="CP83">
        <f t="shared" si="84"/>
        <v>3972.69</v>
      </c>
      <c r="CQ83">
        <f t="shared" si="85"/>
        <v>0</v>
      </c>
      <c r="CR83">
        <f t="shared" si="86"/>
        <v>0</v>
      </c>
      <c r="CS83">
        <f t="shared" si="87"/>
        <v>0</v>
      </c>
      <c r="CT83">
        <f t="shared" si="88"/>
        <v>147.18</v>
      </c>
      <c r="CU83">
        <f t="shared" si="89"/>
        <v>0</v>
      </c>
      <c r="CV83">
        <f t="shared" si="90"/>
        <v>0.37440000000000001</v>
      </c>
      <c r="CW83">
        <f t="shared" si="91"/>
        <v>0</v>
      </c>
      <c r="CX83">
        <f t="shared" si="92"/>
        <v>0</v>
      </c>
      <c r="CY83">
        <f t="shared" si="93"/>
        <v>2701.4292</v>
      </c>
      <c r="CZ83">
        <f t="shared" si="94"/>
        <v>1628.8028999999999</v>
      </c>
      <c r="DC83" t="s">
        <v>3</v>
      </c>
      <c r="DD83" t="s">
        <v>3</v>
      </c>
      <c r="DE83" t="s">
        <v>3</v>
      </c>
      <c r="DF83" t="s">
        <v>3</v>
      </c>
      <c r="DG83" t="s">
        <v>146</v>
      </c>
      <c r="DH83" t="s">
        <v>3</v>
      </c>
      <c r="DI83" t="s">
        <v>146</v>
      </c>
      <c r="DJ83" t="s">
        <v>3</v>
      </c>
      <c r="DK83" t="s">
        <v>3</v>
      </c>
      <c r="DL83" t="s">
        <v>3</v>
      </c>
      <c r="DM83" t="s">
        <v>3</v>
      </c>
      <c r="DN83">
        <v>75</v>
      </c>
      <c r="DO83">
        <v>70</v>
      </c>
      <c r="DP83">
        <v>1</v>
      </c>
      <c r="DQ83">
        <v>1</v>
      </c>
      <c r="DU83">
        <v>1013</v>
      </c>
      <c r="DV83" t="s">
        <v>188</v>
      </c>
      <c r="DW83" t="s">
        <v>188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22827222</v>
      </c>
      <c r="EF83">
        <v>50</v>
      </c>
      <c r="EG83" t="s">
        <v>147</v>
      </c>
      <c r="EH83">
        <v>0</v>
      </c>
      <c r="EI83" t="s">
        <v>3</v>
      </c>
      <c r="EJ83">
        <v>4</v>
      </c>
      <c r="EK83">
        <v>381</v>
      </c>
      <c r="EL83" t="s">
        <v>148</v>
      </c>
      <c r="EM83" t="s">
        <v>149</v>
      </c>
      <c r="EO83" t="s">
        <v>169</v>
      </c>
      <c r="EQ83">
        <v>0</v>
      </c>
      <c r="ER83">
        <v>5.7</v>
      </c>
      <c r="ES83">
        <v>0</v>
      </c>
      <c r="ET83">
        <v>0</v>
      </c>
      <c r="EU83">
        <v>0</v>
      </c>
      <c r="EV83">
        <v>5.7</v>
      </c>
      <c r="EW83">
        <v>0.36</v>
      </c>
      <c r="EX83">
        <v>0</v>
      </c>
      <c r="EY83">
        <v>0</v>
      </c>
      <c r="FQ83">
        <v>0</v>
      </c>
      <c r="FR83">
        <f t="shared" si="95"/>
        <v>0</v>
      </c>
      <c r="FS83">
        <v>0</v>
      </c>
      <c r="FX83">
        <v>75</v>
      </c>
      <c r="FY83">
        <v>70</v>
      </c>
      <c r="GA83" t="s">
        <v>3</v>
      </c>
      <c r="GD83">
        <v>0</v>
      </c>
      <c r="GF83">
        <v>-2003263557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96"/>
        <v>0</v>
      </c>
      <c r="GM83">
        <f t="shared" si="97"/>
        <v>8302.92</v>
      </c>
      <c r="GN83">
        <f t="shared" si="98"/>
        <v>0</v>
      </c>
      <c r="GO83">
        <f t="shared" si="99"/>
        <v>0</v>
      </c>
      <c r="GP83">
        <f t="shared" si="100"/>
        <v>8302.92</v>
      </c>
      <c r="GR83">
        <v>0</v>
      </c>
      <c r="GS83">
        <v>0</v>
      </c>
      <c r="GT83">
        <v>0</v>
      </c>
      <c r="GU83" t="s">
        <v>3</v>
      </c>
      <c r="GV83">
        <f t="shared" si="101"/>
        <v>0</v>
      </c>
      <c r="GW83">
        <v>1</v>
      </c>
      <c r="GX83">
        <f t="shared" si="102"/>
        <v>0</v>
      </c>
      <c r="HA83">
        <v>0</v>
      </c>
      <c r="HB83">
        <v>0</v>
      </c>
      <c r="HC83">
        <f t="shared" si="103"/>
        <v>0</v>
      </c>
      <c r="HE83" t="s">
        <v>3</v>
      </c>
      <c r="HF83" t="s">
        <v>3</v>
      </c>
      <c r="IK83">
        <v>0</v>
      </c>
    </row>
    <row r="84" spans="1:245" x14ac:dyDescent="0.2">
      <c r="A84">
        <v>17</v>
      </c>
      <c r="B84">
        <v>1</v>
      </c>
      <c r="E84" t="s">
        <v>190</v>
      </c>
      <c r="F84" t="s">
        <v>191</v>
      </c>
      <c r="G84" t="s">
        <v>192</v>
      </c>
      <c r="H84" t="s">
        <v>188</v>
      </c>
      <c r="I84">
        <v>24</v>
      </c>
      <c r="J84">
        <v>0</v>
      </c>
      <c r="O84">
        <f t="shared" si="66"/>
        <v>804.58</v>
      </c>
      <c r="P84">
        <f t="shared" si="67"/>
        <v>0</v>
      </c>
      <c r="Q84">
        <f t="shared" si="68"/>
        <v>0</v>
      </c>
      <c r="R84">
        <f t="shared" si="69"/>
        <v>0</v>
      </c>
      <c r="S84">
        <f t="shared" si="70"/>
        <v>804.58</v>
      </c>
      <c r="T84">
        <f t="shared" si="71"/>
        <v>0</v>
      </c>
      <c r="U84">
        <f t="shared" si="72"/>
        <v>2.4960000000000004</v>
      </c>
      <c r="V84">
        <f t="shared" si="73"/>
        <v>0</v>
      </c>
      <c r="W84">
        <f t="shared" si="74"/>
        <v>0</v>
      </c>
      <c r="X84">
        <f t="shared" si="75"/>
        <v>547.11</v>
      </c>
      <c r="Y84">
        <f t="shared" si="76"/>
        <v>329.88</v>
      </c>
      <c r="AA84">
        <v>23680976</v>
      </c>
      <c r="AB84">
        <f t="shared" si="77"/>
        <v>1.6432</v>
      </c>
      <c r="AC84">
        <f t="shared" si="78"/>
        <v>0</v>
      </c>
      <c r="AD84">
        <f t="shared" si="79"/>
        <v>0</v>
      </c>
      <c r="AE84">
        <f t="shared" si="80"/>
        <v>0</v>
      </c>
      <c r="AF84">
        <f t="shared" si="104"/>
        <v>1.6432</v>
      </c>
      <c r="AG84">
        <f t="shared" si="81"/>
        <v>0</v>
      </c>
      <c r="AH84">
        <f t="shared" si="105"/>
        <v>0.10400000000000001</v>
      </c>
      <c r="AI84">
        <f t="shared" si="82"/>
        <v>0</v>
      </c>
      <c r="AJ84">
        <f t="shared" si="83"/>
        <v>0</v>
      </c>
      <c r="AK84">
        <v>1.58</v>
      </c>
      <c r="AL84">
        <v>0</v>
      </c>
      <c r="AM84">
        <v>0</v>
      </c>
      <c r="AN84">
        <v>0</v>
      </c>
      <c r="AO84">
        <v>1.58</v>
      </c>
      <c r="AP84">
        <v>0</v>
      </c>
      <c r="AQ84">
        <v>0.1</v>
      </c>
      <c r="AR84">
        <v>0</v>
      </c>
      <c r="AS84">
        <v>0</v>
      </c>
      <c r="AT84">
        <v>68</v>
      </c>
      <c r="AU84">
        <v>41</v>
      </c>
      <c r="AV84">
        <v>1</v>
      </c>
      <c r="AW84">
        <v>1</v>
      </c>
      <c r="AZ84">
        <v>1</v>
      </c>
      <c r="BA84">
        <v>20.399999999999999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193</v>
      </c>
      <c r="BM84">
        <v>381</v>
      </c>
      <c r="BN84">
        <v>0</v>
      </c>
      <c r="BO84" t="s">
        <v>3</v>
      </c>
      <c r="BP84">
        <v>0</v>
      </c>
      <c r="BQ84">
        <v>50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68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249</v>
      </c>
      <c r="CO84">
        <v>0</v>
      </c>
      <c r="CP84">
        <f t="shared" si="84"/>
        <v>804.58</v>
      </c>
      <c r="CQ84">
        <f t="shared" si="85"/>
        <v>0</v>
      </c>
      <c r="CR84">
        <f t="shared" si="86"/>
        <v>0</v>
      </c>
      <c r="CS84">
        <f t="shared" si="87"/>
        <v>0</v>
      </c>
      <c r="CT84">
        <f t="shared" si="88"/>
        <v>33.46</v>
      </c>
      <c r="CU84">
        <f t="shared" si="89"/>
        <v>0</v>
      </c>
      <c r="CV84">
        <f t="shared" si="90"/>
        <v>0.10400000000000001</v>
      </c>
      <c r="CW84">
        <f t="shared" si="91"/>
        <v>0</v>
      </c>
      <c r="CX84">
        <f t="shared" si="92"/>
        <v>0</v>
      </c>
      <c r="CY84">
        <f t="shared" si="93"/>
        <v>547.11440000000005</v>
      </c>
      <c r="CZ84">
        <f t="shared" si="94"/>
        <v>329.87779999999998</v>
      </c>
      <c r="DC84" t="s">
        <v>3</v>
      </c>
      <c r="DD84" t="s">
        <v>3</v>
      </c>
      <c r="DE84" t="s">
        <v>3</v>
      </c>
      <c r="DF84" t="s">
        <v>3</v>
      </c>
      <c r="DG84" t="s">
        <v>146</v>
      </c>
      <c r="DH84" t="s">
        <v>3</v>
      </c>
      <c r="DI84" t="s">
        <v>146</v>
      </c>
      <c r="DJ84" t="s">
        <v>3</v>
      </c>
      <c r="DK84" t="s">
        <v>3</v>
      </c>
      <c r="DL84" t="s">
        <v>3</v>
      </c>
      <c r="DM84" t="s">
        <v>3</v>
      </c>
      <c r="DN84">
        <v>75</v>
      </c>
      <c r="DO84">
        <v>70</v>
      </c>
      <c r="DP84">
        <v>1</v>
      </c>
      <c r="DQ84">
        <v>1</v>
      </c>
      <c r="DU84">
        <v>1013</v>
      </c>
      <c r="DV84" t="s">
        <v>188</v>
      </c>
      <c r="DW84" t="s">
        <v>188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22827222</v>
      </c>
      <c r="EF84">
        <v>50</v>
      </c>
      <c r="EG84" t="s">
        <v>147</v>
      </c>
      <c r="EH84">
        <v>0</v>
      </c>
      <c r="EI84" t="s">
        <v>3</v>
      </c>
      <c r="EJ84">
        <v>4</v>
      </c>
      <c r="EK84">
        <v>381</v>
      </c>
      <c r="EL84" t="s">
        <v>148</v>
      </c>
      <c r="EM84" t="s">
        <v>149</v>
      </c>
      <c r="EO84" t="s">
        <v>150</v>
      </c>
      <c r="EQ84">
        <v>0</v>
      </c>
      <c r="ER84">
        <v>1.58</v>
      </c>
      <c r="ES84">
        <v>0</v>
      </c>
      <c r="ET84">
        <v>0</v>
      </c>
      <c r="EU84">
        <v>0</v>
      </c>
      <c r="EV84">
        <v>1.58</v>
      </c>
      <c r="EW84">
        <v>0.1</v>
      </c>
      <c r="EX84">
        <v>0</v>
      </c>
      <c r="EY84">
        <v>0</v>
      </c>
      <c r="FQ84">
        <v>0</v>
      </c>
      <c r="FR84">
        <f t="shared" si="95"/>
        <v>0</v>
      </c>
      <c r="FS84">
        <v>0</v>
      </c>
      <c r="FX84">
        <v>75</v>
      </c>
      <c r="FY84">
        <v>70</v>
      </c>
      <c r="GA84" t="s">
        <v>3</v>
      </c>
      <c r="GD84">
        <v>0</v>
      </c>
      <c r="GF84">
        <v>730104558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96"/>
        <v>0</v>
      </c>
      <c r="GM84">
        <f t="shared" si="97"/>
        <v>1681.57</v>
      </c>
      <c r="GN84">
        <f t="shared" si="98"/>
        <v>0</v>
      </c>
      <c r="GO84">
        <f t="shared" si="99"/>
        <v>0</v>
      </c>
      <c r="GP84">
        <f t="shared" si="100"/>
        <v>1681.57</v>
      </c>
      <c r="GR84">
        <v>0</v>
      </c>
      <c r="GS84">
        <v>3</v>
      </c>
      <c r="GT84">
        <v>0</v>
      </c>
      <c r="GU84" t="s">
        <v>3</v>
      </c>
      <c r="GV84">
        <f t="shared" si="101"/>
        <v>0</v>
      </c>
      <c r="GW84">
        <v>1</v>
      </c>
      <c r="GX84">
        <f t="shared" si="102"/>
        <v>0</v>
      </c>
      <c r="HA84">
        <v>0</v>
      </c>
      <c r="HB84">
        <v>0</v>
      </c>
      <c r="HC84">
        <f t="shared" si="103"/>
        <v>0</v>
      </c>
      <c r="HE84" t="s">
        <v>3</v>
      </c>
      <c r="HF84" t="s">
        <v>3</v>
      </c>
      <c r="IK84">
        <v>0</v>
      </c>
    </row>
    <row r="85" spans="1:245" x14ac:dyDescent="0.2">
      <c r="A85">
        <v>17</v>
      </c>
      <c r="B85">
        <v>1</v>
      </c>
      <c r="E85" t="s">
        <v>194</v>
      </c>
      <c r="F85" t="s">
        <v>195</v>
      </c>
      <c r="G85" t="s">
        <v>196</v>
      </c>
      <c r="H85" t="s">
        <v>188</v>
      </c>
      <c r="I85">
        <v>24</v>
      </c>
      <c r="J85">
        <v>0</v>
      </c>
      <c r="O85">
        <f t="shared" si="66"/>
        <v>3625.49</v>
      </c>
      <c r="P85">
        <f t="shared" si="67"/>
        <v>0</v>
      </c>
      <c r="Q85">
        <f t="shared" si="68"/>
        <v>0</v>
      </c>
      <c r="R85">
        <f t="shared" si="69"/>
        <v>0</v>
      </c>
      <c r="S85">
        <f t="shared" si="70"/>
        <v>3625.49</v>
      </c>
      <c r="T85">
        <f t="shared" si="71"/>
        <v>0</v>
      </c>
      <c r="U85">
        <f t="shared" si="72"/>
        <v>11.232000000000003</v>
      </c>
      <c r="V85">
        <f t="shared" si="73"/>
        <v>0</v>
      </c>
      <c r="W85">
        <f t="shared" si="74"/>
        <v>0</v>
      </c>
      <c r="X85">
        <f t="shared" si="75"/>
        <v>2465.33</v>
      </c>
      <c r="Y85">
        <f t="shared" si="76"/>
        <v>1486.45</v>
      </c>
      <c r="AA85">
        <v>23680976</v>
      </c>
      <c r="AB85">
        <f t="shared" si="77"/>
        <v>7.4047999999999998</v>
      </c>
      <c r="AC85">
        <f t="shared" si="78"/>
        <v>0</v>
      </c>
      <c r="AD85">
        <f t="shared" si="79"/>
        <v>0</v>
      </c>
      <c r="AE85">
        <f t="shared" si="80"/>
        <v>0</v>
      </c>
      <c r="AF85">
        <f t="shared" si="104"/>
        <v>7.4047999999999998</v>
      </c>
      <c r="AG85">
        <f t="shared" si="81"/>
        <v>0</v>
      </c>
      <c r="AH85">
        <f t="shared" si="105"/>
        <v>0.46800000000000008</v>
      </c>
      <c r="AI85">
        <f t="shared" si="82"/>
        <v>0</v>
      </c>
      <c r="AJ85">
        <f t="shared" si="83"/>
        <v>0</v>
      </c>
      <c r="AK85">
        <v>7.12</v>
      </c>
      <c r="AL85">
        <v>0</v>
      </c>
      <c r="AM85">
        <v>0</v>
      </c>
      <c r="AN85">
        <v>0</v>
      </c>
      <c r="AO85">
        <v>7.12</v>
      </c>
      <c r="AP85">
        <v>0</v>
      </c>
      <c r="AQ85">
        <v>0.45</v>
      </c>
      <c r="AR85">
        <v>0</v>
      </c>
      <c r="AS85">
        <v>0</v>
      </c>
      <c r="AT85">
        <v>68</v>
      </c>
      <c r="AU85">
        <v>41</v>
      </c>
      <c r="AV85">
        <v>1</v>
      </c>
      <c r="AW85">
        <v>1</v>
      </c>
      <c r="AZ85">
        <v>1</v>
      </c>
      <c r="BA85">
        <v>20.399999999999999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4</v>
      </c>
      <c r="BJ85" t="s">
        <v>197</v>
      </c>
      <c r="BM85">
        <v>381</v>
      </c>
      <c r="BN85">
        <v>0</v>
      </c>
      <c r="BO85" t="s">
        <v>3</v>
      </c>
      <c r="BP85">
        <v>0</v>
      </c>
      <c r="BQ85">
        <v>50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68</v>
      </c>
      <c r="CA85">
        <v>41</v>
      </c>
      <c r="CE85">
        <v>30</v>
      </c>
      <c r="CF85">
        <v>0</v>
      </c>
      <c r="CG85">
        <v>0</v>
      </c>
      <c r="CM85">
        <v>0</v>
      </c>
      <c r="CN85" t="s">
        <v>249</v>
      </c>
      <c r="CO85">
        <v>0</v>
      </c>
      <c r="CP85">
        <f t="shared" si="84"/>
        <v>3625.49</v>
      </c>
      <c r="CQ85">
        <f t="shared" si="85"/>
        <v>0</v>
      </c>
      <c r="CR85">
        <f t="shared" si="86"/>
        <v>0</v>
      </c>
      <c r="CS85">
        <f t="shared" si="87"/>
        <v>0</v>
      </c>
      <c r="CT85">
        <f t="shared" si="88"/>
        <v>150.96</v>
      </c>
      <c r="CU85">
        <f t="shared" si="89"/>
        <v>0</v>
      </c>
      <c r="CV85">
        <f t="shared" si="90"/>
        <v>0.46800000000000008</v>
      </c>
      <c r="CW85">
        <f t="shared" si="91"/>
        <v>0</v>
      </c>
      <c r="CX85">
        <f t="shared" si="92"/>
        <v>0</v>
      </c>
      <c r="CY85">
        <f t="shared" si="93"/>
        <v>2465.3332</v>
      </c>
      <c r="CZ85">
        <f t="shared" si="94"/>
        <v>1486.4508999999998</v>
      </c>
      <c r="DC85" t="s">
        <v>3</v>
      </c>
      <c r="DD85" t="s">
        <v>3</v>
      </c>
      <c r="DE85" t="s">
        <v>3</v>
      </c>
      <c r="DF85" t="s">
        <v>3</v>
      </c>
      <c r="DG85" t="s">
        <v>146</v>
      </c>
      <c r="DH85" t="s">
        <v>3</v>
      </c>
      <c r="DI85" t="s">
        <v>146</v>
      </c>
      <c r="DJ85" t="s">
        <v>3</v>
      </c>
      <c r="DK85" t="s">
        <v>3</v>
      </c>
      <c r="DL85" t="s">
        <v>3</v>
      </c>
      <c r="DM85" t="s">
        <v>3</v>
      </c>
      <c r="DN85">
        <v>75</v>
      </c>
      <c r="DO85">
        <v>70</v>
      </c>
      <c r="DP85">
        <v>1</v>
      </c>
      <c r="DQ85">
        <v>1</v>
      </c>
      <c r="DU85">
        <v>1013</v>
      </c>
      <c r="DV85" t="s">
        <v>188</v>
      </c>
      <c r="DW85" t="s">
        <v>188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22827222</v>
      </c>
      <c r="EF85">
        <v>50</v>
      </c>
      <c r="EG85" t="s">
        <v>147</v>
      </c>
      <c r="EH85">
        <v>0</v>
      </c>
      <c r="EI85" t="s">
        <v>3</v>
      </c>
      <c r="EJ85">
        <v>4</v>
      </c>
      <c r="EK85">
        <v>381</v>
      </c>
      <c r="EL85" t="s">
        <v>148</v>
      </c>
      <c r="EM85" t="s">
        <v>149</v>
      </c>
      <c r="EO85" t="s">
        <v>150</v>
      </c>
      <c r="EQ85">
        <v>0</v>
      </c>
      <c r="ER85">
        <v>7.12</v>
      </c>
      <c r="ES85">
        <v>0</v>
      </c>
      <c r="ET85">
        <v>0</v>
      </c>
      <c r="EU85">
        <v>0</v>
      </c>
      <c r="EV85">
        <v>7.12</v>
      </c>
      <c r="EW85">
        <v>0.45</v>
      </c>
      <c r="EX85">
        <v>0</v>
      </c>
      <c r="EY85">
        <v>0</v>
      </c>
      <c r="FQ85">
        <v>0</v>
      </c>
      <c r="FR85">
        <f t="shared" si="95"/>
        <v>0</v>
      </c>
      <c r="FS85">
        <v>0</v>
      </c>
      <c r="FX85">
        <v>75</v>
      </c>
      <c r="FY85">
        <v>70</v>
      </c>
      <c r="GA85" t="s">
        <v>3</v>
      </c>
      <c r="GD85">
        <v>0</v>
      </c>
      <c r="GF85">
        <v>-1143142764</v>
      </c>
      <c r="GG85">
        <v>2</v>
      </c>
      <c r="GH85">
        <v>1</v>
      </c>
      <c r="GI85">
        <v>2</v>
      </c>
      <c r="GJ85">
        <v>0</v>
      </c>
      <c r="GK85">
        <f>ROUND(R85*(R12)/100,2)</f>
        <v>0</v>
      </c>
      <c r="GL85">
        <f t="shared" si="96"/>
        <v>0</v>
      </c>
      <c r="GM85">
        <f t="shared" si="97"/>
        <v>7577.27</v>
      </c>
      <c r="GN85">
        <f t="shared" si="98"/>
        <v>0</v>
      </c>
      <c r="GO85">
        <f t="shared" si="99"/>
        <v>0</v>
      </c>
      <c r="GP85">
        <f t="shared" si="100"/>
        <v>7577.27</v>
      </c>
      <c r="GR85">
        <v>0</v>
      </c>
      <c r="GS85">
        <v>3</v>
      </c>
      <c r="GT85">
        <v>0</v>
      </c>
      <c r="GU85" t="s">
        <v>3</v>
      </c>
      <c r="GV85">
        <f t="shared" si="101"/>
        <v>0</v>
      </c>
      <c r="GW85">
        <v>1</v>
      </c>
      <c r="GX85">
        <f t="shared" si="102"/>
        <v>0</v>
      </c>
      <c r="HA85">
        <v>0</v>
      </c>
      <c r="HB85">
        <v>0</v>
      </c>
      <c r="HC85">
        <f t="shared" si="103"/>
        <v>0</v>
      </c>
      <c r="HE85" t="s">
        <v>3</v>
      </c>
      <c r="HF85" t="s">
        <v>3</v>
      </c>
      <c r="IK85">
        <v>0</v>
      </c>
    </row>
    <row r="87" spans="1:245" x14ac:dyDescent="0.2">
      <c r="A87" s="2">
        <v>51</v>
      </c>
      <c r="B87" s="2">
        <f>B71</f>
        <v>1</v>
      </c>
      <c r="C87" s="2">
        <f>A71</f>
        <v>4</v>
      </c>
      <c r="D87" s="2">
        <f>ROW(A71)</f>
        <v>71</v>
      </c>
      <c r="E87" s="2"/>
      <c r="F87" s="2" t="str">
        <f>IF(F71&lt;&gt;"",F71,"")</f>
        <v>Новый раздел</v>
      </c>
      <c r="G87" s="2" t="str">
        <f>IF(G71&lt;&gt;"",G71,"")</f>
        <v>Пусконаладочные работы.</v>
      </c>
      <c r="H87" s="2">
        <v>0</v>
      </c>
      <c r="I87" s="2"/>
      <c r="J87" s="2"/>
      <c r="K87" s="2"/>
      <c r="L87" s="2"/>
      <c r="M87" s="2"/>
      <c r="N87" s="2"/>
      <c r="O87" s="2">
        <f t="shared" ref="O87:T87" si="106">ROUND(AB87,2)</f>
        <v>53686.45</v>
      </c>
      <c r="P87" s="2">
        <f t="shared" si="106"/>
        <v>0</v>
      </c>
      <c r="Q87" s="2">
        <f t="shared" si="106"/>
        <v>0</v>
      </c>
      <c r="R87" s="2">
        <f t="shared" si="106"/>
        <v>0</v>
      </c>
      <c r="S87" s="2">
        <f t="shared" si="106"/>
        <v>53686.45</v>
      </c>
      <c r="T87" s="2">
        <f t="shared" si="106"/>
        <v>0</v>
      </c>
      <c r="U87" s="2">
        <f>AH87</f>
        <v>150.60480000000001</v>
      </c>
      <c r="V87" s="2">
        <f>AI87</f>
        <v>0</v>
      </c>
      <c r="W87" s="2">
        <f>ROUND(AJ87,2)</f>
        <v>0</v>
      </c>
      <c r="X87" s="2">
        <f>ROUND(AK87,2)</f>
        <v>36506.769999999997</v>
      </c>
      <c r="Y87" s="2">
        <f>ROUND(AL87,2)</f>
        <v>22011.45</v>
      </c>
      <c r="Z87" s="2"/>
      <c r="AA87" s="2"/>
      <c r="AB87" s="2">
        <f>ROUND(SUMIF(AA75:AA85,"=23680976",O75:O85),2)</f>
        <v>53686.45</v>
      </c>
      <c r="AC87" s="2">
        <f>ROUND(SUMIF(AA75:AA85,"=23680976",P75:P85),2)</f>
        <v>0</v>
      </c>
      <c r="AD87" s="2">
        <f>ROUND(SUMIF(AA75:AA85,"=23680976",Q75:Q85),2)</f>
        <v>0</v>
      </c>
      <c r="AE87" s="2">
        <f>ROUND(SUMIF(AA75:AA85,"=23680976",R75:R85),2)</f>
        <v>0</v>
      </c>
      <c r="AF87" s="2">
        <f>ROUND(SUMIF(AA75:AA85,"=23680976",S75:S85),2)</f>
        <v>53686.45</v>
      </c>
      <c r="AG87" s="2">
        <f>ROUND(SUMIF(AA75:AA85,"=23680976",T75:T85),2)</f>
        <v>0</v>
      </c>
      <c r="AH87" s="2">
        <f>SUMIF(AA75:AA85,"=23680976",U75:U85)</f>
        <v>150.60480000000001</v>
      </c>
      <c r="AI87" s="2">
        <f>SUMIF(AA75:AA85,"=23680976",V75:V85)</f>
        <v>0</v>
      </c>
      <c r="AJ87" s="2">
        <f>ROUND(SUMIF(AA75:AA85,"=23680976",W75:W85),2)</f>
        <v>0</v>
      </c>
      <c r="AK87" s="2">
        <f>ROUND(SUMIF(AA75:AA85,"=23680976",X75:X85),2)</f>
        <v>36506.769999999997</v>
      </c>
      <c r="AL87" s="2">
        <f>ROUND(SUMIF(AA75:AA85,"=23680976",Y75:Y85),2)</f>
        <v>22011.45</v>
      </c>
      <c r="AM87" s="2"/>
      <c r="AN87" s="2"/>
      <c r="AO87" s="2">
        <f t="shared" ref="AO87:BD87" si="107">ROUND(BX87,2)</f>
        <v>0</v>
      </c>
      <c r="AP87" s="2">
        <f t="shared" si="107"/>
        <v>0</v>
      </c>
      <c r="AQ87" s="2">
        <f t="shared" si="107"/>
        <v>0</v>
      </c>
      <c r="AR87" s="2">
        <f t="shared" si="107"/>
        <v>112204.67</v>
      </c>
      <c r="AS87" s="2">
        <f t="shared" si="107"/>
        <v>0</v>
      </c>
      <c r="AT87" s="2">
        <f t="shared" si="107"/>
        <v>0</v>
      </c>
      <c r="AU87" s="2">
        <f t="shared" si="107"/>
        <v>112204.67</v>
      </c>
      <c r="AV87" s="2">
        <f t="shared" si="107"/>
        <v>0</v>
      </c>
      <c r="AW87" s="2">
        <f t="shared" si="107"/>
        <v>0</v>
      </c>
      <c r="AX87" s="2">
        <f t="shared" si="107"/>
        <v>0</v>
      </c>
      <c r="AY87" s="2">
        <f t="shared" si="107"/>
        <v>0</v>
      </c>
      <c r="AZ87" s="2">
        <f t="shared" si="107"/>
        <v>0</v>
      </c>
      <c r="BA87" s="2">
        <f t="shared" si="107"/>
        <v>0</v>
      </c>
      <c r="BB87" s="2">
        <f t="shared" si="107"/>
        <v>0</v>
      </c>
      <c r="BC87" s="2">
        <f t="shared" si="107"/>
        <v>0</v>
      </c>
      <c r="BD87" s="2">
        <f t="shared" si="107"/>
        <v>0</v>
      </c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>
        <f>ROUND(SUMIF(AA75:AA85,"=23680976",FQ75:FQ85),2)</f>
        <v>0</v>
      </c>
      <c r="BY87" s="2">
        <f>ROUND(SUMIF(AA75:AA85,"=23680976",FR75:FR85),2)</f>
        <v>0</v>
      </c>
      <c r="BZ87" s="2">
        <f>ROUND(SUMIF(AA75:AA85,"=23680976",GL75:GL85),2)</f>
        <v>0</v>
      </c>
      <c r="CA87" s="2">
        <f>ROUND(SUMIF(AA75:AA85,"=23680976",GM75:GM85),2)</f>
        <v>112204.67</v>
      </c>
      <c r="CB87" s="2">
        <f>ROUND(SUMIF(AA75:AA85,"=23680976",GN75:GN85),2)</f>
        <v>0</v>
      </c>
      <c r="CC87" s="2">
        <f>ROUND(SUMIF(AA75:AA85,"=23680976",GO75:GO85),2)</f>
        <v>0</v>
      </c>
      <c r="CD87" s="2">
        <f>ROUND(SUMIF(AA75:AA85,"=23680976",GP75:GP85),2)</f>
        <v>112204.67</v>
      </c>
      <c r="CE87" s="2">
        <f>AC87-BX87</f>
        <v>0</v>
      </c>
      <c r="CF87" s="2">
        <f>AC87-BY87</f>
        <v>0</v>
      </c>
      <c r="CG87" s="2">
        <f>BX87-BZ87</f>
        <v>0</v>
      </c>
      <c r="CH87" s="2">
        <f>AC87-BX87-BY87+BZ87</f>
        <v>0</v>
      </c>
      <c r="CI87" s="2">
        <f>BY87-BZ87</f>
        <v>0</v>
      </c>
      <c r="CJ87" s="2">
        <f>ROUND(SUMIF(AA75:AA85,"=23680976",GX75:GX85),2)</f>
        <v>0</v>
      </c>
      <c r="CK87" s="2">
        <f>ROUND(SUMIF(AA75:AA85,"=23680976",GY75:GY85),2)</f>
        <v>0</v>
      </c>
      <c r="CL87" s="2">
        <f>ROUND(SUMIF(AA75:AA85,"=23680976",GZ75:GZ85),2)</f>
        <v>0</v>
      </c>
      <c r="CM87" s="2">
        <f>ROUND(SUMIF(AA75:AA85,"=23680976",HD75:HD85),2)</f>
        <v>0</v>
      </c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>
        <v>0</v>
      </c>
    </row>
    <row r="89" spans="1:245" x14ac:dyDescent="0.2">
      <c r="A89" s="4">
        <v>50</v>
      </c>
      <c r="B89" s="4">
        <v>0</v>
      </c>
      <c r="C89" s="4">
        <v>0</v>
      </c>
      <c r="D89" s="4">
        <v>1</v>
      </c>
      <c r="E89" s="4">
        <v>201</v>
      </c>
      <c r="F89" s="4">
        <f>ROUND(Source!O87,O89)</f>
        <v>53686.45</v>
      </c>
      <c r="G89" s="4" t="s">
        <v>87</v>
      </c>
      <c r="H89" s="4" t="s">
        <v>88</v>
      </c>
      <c r="I89" s="4"/>
      <c r="J89" s="4"/>
      <c r="K89" s="4">
        <v>201</v>
      </c>
      <c r="L89" s="4">
        <v>1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202</v>
      </c>
      <c r="F90" s="4">
        <f>ROUND(Source!P87,O90)</f>
        <v>0</v>
      </c>
      <c r="G90" s="4" t="s">
        <v>89</v>
      </c>
      <c r="H90" s="4" t="s">
        <v>90</v>
      </c>
      <c r="I90" s="4"/>
      <c r="J90" s="4"/>
      <c r="K90" s="4">
        <v>202</v>
      </c>
      <c r="L90" s="4">
        <v>2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222</v>
      </c>
      <c r="F91" s="4">
        <f>ROUND(Source!AO87,O91)</f>
        <v>0</v>
      </c>
      <c r="G91" s="4" t="s">
        <v>91</v>
      </c>
      <c r="H91" s="4" t="s">
        <v>92</v>
      </c>
      <c r="I91" s="4"/>
      <c r="J91" s="4"/>
      <c r="K91" s="4">
        <v>222</v>
      </c>
      <c r="L91" s="4">
        <v>3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225</v>
      </c>
      <c r="F92" s="4">
        <f>ROUND(Source!AV87,O92)</f>
        <v>0</v>
      </c>
      <c r="G92" s="4" t="s">
        <v>93</v>
      </c>
      <c r="H92" s="4" t="s">
        <v>94</v>
      </c>
      <c r="I92" s="4"/>
      <c r="J92" s="4"/>
      <c r="K92" s="4">
        <v>225</v>
      </c>
      <c r="L92" s="4">
        <v>4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226</v>
      </c>
      <c r="F93" s="4">
        <f>ROUND(Source!AW87,O93)</f>
        <v>0</v>
      </c>
      <c r="G93" s="4" t="s">
        <v>95</v>
      </c>
      <c r="H93" s="4" t="s">
        <v>96</v>
      </c>
      <c r="I93" s="4"/>
      <c r="J93" s="4"/>
      <c r="K93" s="4">
        <v>226</v>
      </c>
      <c r="L93" s="4">
        <v>5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227</v>
      </c>
      <c r="F94" s="4">
        <f>ROUND(Source!AX87,O94)</f>
        <v>0</v>
      </c>
      <c r="G94" s="4" t="s">
        <v>97</v>
      </c>
      <c r="H94" s="4" t="s">
        <v>98</v>
      </c>
      <c r="I94" s="4"/>
      <c r="J94" s="4"/>
      <c r="K94" s="4">
        <v>227</v>
      </c>
      <c r="L94" s="4">
        <v>6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228</v>
      </c>
      <c r="F95" s="4">
        <f>ROUND(Source!AY87,O95)</f>
        <v>0</v>
      </c>
      <c r="G95" s="4" t="s">
        <v>99</v>
      </c>
      <c r="H95" s="4" t="s">
        <v>100</v>
      </c>
      <c r="I95" s="4"/>
      <c r="J95" s="4"/>
      <c r="K95" s="4">
        <v>228</v>
      </c>
      <c r="L95" s="4">
        <v>7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216</v>
      </c>
      <c r="F96" s="4">
        <f>ROUND(Source!AP87,O96)</f>
        <v>0</v>
      </c>
      <c r="G96" s="4" t="s">
        <v>101</v>
      </c>
      <c r="H96" s="4" t="s">
        <v>102</v>
      </c>
      <c r="I96" s="4"/>
      <c r="J96" s="4"/>
      <c r="K96" s="4">
        <v>216</v>
      </c>
      <c r="L96" s="4">
        <v>8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223</v>
      </c>
      <c r="F97" s="4">
        <f>ROUND(Source!AQ87,O97)</f>
        <v>0</v>
      </c>
      <c r="G97" s="4" t="s">
        <v>103</v>
      </c>
      <c r="H97" s="4" t="s">
        <v>104</v>
      </c>
      <c r="I97" s="4"/>
      <c r="J97" s="4"/>
      <c r="K97" s="4">
        <v>223</v>
      </c>
      <c r="L97" s="4">
        <v>9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229</v>
      </c>
      <c r="F98" s="4">
        <f>ROUND(Source!AZ87,O98)</f>
        <v>0</v>
      </c>
      <c r="G98" s="4" t="s">
        <v>105</v>
      </c>
      <c r="H98" s="4" t="s">
        <v>106</v>
      </c>
      <c r="I98" s="4"/>
      <c r="J98" s="4"/>
      <c r="K98" s="4">
        <v>229</v>
      </c>
      <c r="L98" s="4">
        <v>10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203</v>
      </c>
      <c r="F99" s="4">
        <f>ROUND(Source!Q87,O99)</f>
        <v>0</v>
      </c>
      <c r="G99" s="4" t="s">
        <v>107</v>
      </c>
      <c r="H99" s="4" t="s">
        <v>108</v>
      </c>
      <c r="I99" s="4"/>
      <c r="J99" s="4"/>
      <c r="K99" s="4">
        <v>203</v>
      </c>
      <c r="L99" s="4">
        <v>11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231</v>
      </c>
      <c r="F100" s="4">
        <f>ROUND(Source!BB87,O100)</f>
        <v>0</v>
      </c>
      <c r="G100" s="4" t="s">
        <v>109</v>
      </c>
      <c r="H100" s="4" t="s">
        <v>110</v>
      </c>
      <c r="I100" s="4"/>
      <c r="J100" s="4"/>
      <c r="K100" s="4">
        <v>231</v>
      </c>
      <c r="L100" s="4">
        <v>12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204</v>
      </c>
      <c r="F101" s="4">
        <f>ROUND(Source!R87,O101)</f>
        <v>0</v>
      </c>
      <c r="G101" s="4" t="s">
        <v>111</v>
      </c>
      <c r="H101" s="4" t="s">
        <v>112</v>
      </c>
      <c r="I101" s="4"/>
      <c r="J101" s="4"/>
      <c r="K101" s="4">
        <v>204</v>
      </c>
      <c r="L101" s="4">
        <v>13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205</v>
      </c>
      <c r="F102" s="4">
        <f>ROUND(Source!S87,O102)</f>
        <v>53686.45</v>
      </c>
      <c r="G102" s="4" t="s">
        <v>113</v>
      </c>
      <c r="H102" s="4" t="s">
        <v>114</v>
      </c>
      <c r="I102" s="4"/>
      <c r="J102" s="4"/>
      <c r="K102" s="4">
        <v>205</v>
      </c>
      <c r="L102" s="4">
        <v>14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232</v>
      </c>
      <c r="F103" s="4">
        <f>ROUND(Source!BC87,O103)</f>
        <v>0</v>
      </c>
      <c r="G103" s="4" t="s">
        <v>115</v>
      </c>
      <c r="H103" s="4" t="s">
        <v>116</v>
      </c>
      <c r="I103" s="4"/>
      <c r="J103" s="4"/>
      <c r="K103" s="4">
        <v>232</v>
      </c>
      <c r="L103" s="4">
        <v>15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214</v>
      </c>
      <c r="F104" s="4">
        <f>ROUND(Source!AS87,O104)</f>
        <v>0</v>
      </c>
      <c r="G104" s="4" t="s">
        <v>117</v>
      </c>
      <c r="H104" s="4" t="s">
        <v>118</v>
      </c>
      <c r="I104" s="4"/>
      <c r="J104" s="4"/>
      <c r="K104" s="4">
        <v>214</v>
      </c>
      <c r="L104" s="4">
        <v>16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215</v>
      </c>
      <c r="F105" s="4">
        <f>ROUND(Source!AT87,O105)</f>
        <v>0</v>
      </c>
      <c r="G105" s="4" t="s">
        <v>119</v>
      </c>
      <c r="H105" s="4" t="s">
        <v>120</v>
      </c>
      <c r="I105" s="4"/>
      <c r="J105" s="4"/>
      <c r="K105" s="4">
        <v>215</v>
      </c>
      <c r="L105" s="4">
        <v>17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217</v>
      </c>
      <c r="F106" s="4">
        <f>ROUND(Source!AU87,O106)</f>
        <v>112204.67</v>
      </c>
      <c r="G106" s="4" t="s">
        <v>121</v>
      </c>
      <c r="H106" s="4" t="s">
        <v>122</v>
      </c>
      <c r="I106" s="4"/>
      <c r="J106" s="4"/>
      <c r="K106" s="4">
        <v>217</v>
      </c>
      <c r="L106" s="4">
        <v>18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230</v>
      </c>
      <c r="F107" s="4">
        <f>ROUND(Source!BA87,O107)</f>
        <v>0</v>
      </c>
      <c r="G107" s="4" t="s">
        <v>123</v>
      </c>
      <c r="H107" s="4" t="s">
        <v>124</v>
      </c>
      <c r="I107" s="4"/>
      <c r="J107" s="4"/>
      <c r="K107" s="4">
        <v>230</v>
      </c>
      <c r="L107" s="4">
        <v>19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206</v>
      </c>
      <c r="F108" s="4">
        <f>ROUND(Source!T87,O108)</f>
        <v>0</v>
      </c>
      <c r="G108" s="4" t="s">
        <v>125</v>
      </c>
      <c r="H108" s="4" t="s">
        <v>126</v>
      </c>
      <c r="I108" s="4"/>
      <c r="J108" s="4"/>
      <c r="K108" s="4">
        <v>206</v>
      </c>
      <c r="L108" s="4">
        <v>20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207</v>
      </c>
      <c r="F109" s="4">
        <f>Source!U87</f>
        <v>150.60480000000001</v>
      </c>
      <c r="G109" s="4" t="s">
        <v>127</v>
      </c>
      <c r="H109" s="4" t="s">
        <v>128</v>
      </c>
      <c r="I109" s="4"/>
      <c r="J109" s="4"/>
      <c r="K109" s="4">
        <v>207</v>
      </c>
      <c r="L109" s="4">
        <v>21</v>
      </c>
      <c r="M109" s="4">
        <v>3</v>
      </c>
      <c r="N109" s="4" t="s">
        <v>3</v>
      </c>
      <c r="O109" s="4">
        <v>-1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208</v>
      </c>
      <c r="F110" s="4">
        <f>Source!V87</f>
        <v>0</v>
      </c>
      <c r="G110" s="4" t="s">
        <v>129</v>
      </c>
      <c r="H110" s="4" t="s">
        <v>130</v>
      </c>
      <c r="I110" s="4"/>
      <c r="J110" s="4"/>
      <c r="K110" s="4">
        <v>208</v>
      </c>
      <c r="L110" s="4">
        <v>22</v>
      </c>
      <c r="M110" s="4">
        <v>3</v>
      </c>
      <c r="N110" s="4" t="s">
        <v>3</v>
      </c>
      <c r="O110" s="4">
        <v>-1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209</v>
      </c>
      <c r="F111" s="4">
        <f>ROUND(Source!W87,O111)</f>
        <v>0</v>
      </c>
      <c r="G111" s="4" t="s">
        <v>131</v>
      </c>
      <c r="H111" s="4" t="s">
        <v>132</v>
      </c>
      <c r="I111" s="4"/>
      <c r="J111" s="4"/>
      <c r="K111" s="4">
        <v>209</v>
      </c>
      <c r="L111" s="4">
        <v>23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233</v>
      </c>
      <c r="F112" s="4">
        <f>ROUND(Source!BD87,O112)</f>
        <v>0</v>
      </c>
      <c r="G112" s="4" t="s">
        <v>133</v>
      </c>
      <c r="H112" s="4" t="s">
        <v>134</v>
      </c>
      <c r="I112" s="4"/>
      <c r="J112" s="4"/>
      <c r="K112" s="4">
        <v>233</v>
      </c>
      <c r="L112" s="4">
        <v>24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210</v>
      </c>
      <c r="F113" s="4">
        <f>ROUND(Source!X87,O113)</f>
        <v>36506.769999999997</v>
      </c>
      <c r="G113" s="4" t="s">
        <v>135</v>
      </c>
      <c r="H113" s="4" t="s">
        <v>136</v>
      </c>
      <c r="I113" s="4"/>
      <c r="J113" s="4"/>
      <c r="K113" s="4">
        <v>210</v>
      </c>
      <c r="L113" s="4">
        <v>25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211</v>
      </c>
      <c r="F114" s="4">
        <f>ROUND(Source!Y87,O114)</f>
        <v>22011.45</v>
      </c>
      <c r="G114" s="4" t="s">
        <v>137</v>
      </c>
      <c r="H114" s="4" t="s">
        <v>138</v>
      </c>
      <c r="I114" s="4"/>
      <c r="J114" s="4"/>
      <c r="K114" s="4">
        <v>211</v>
      </c>
      <c r="L114" s="4">
        <v>26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45" x14ac:dyDescent="0.2">
      <c r="A115" s="4">
        <v>50</v>
      </c>
      <c r="B115" s="4">
        <v>0</v>
      </c>
      <c r="C115" s="4">
        <v>0</v>
      </c>
      <c r="D115" s="4">
        <v>1</v>
      </c>
      <c r="E115" s="4">
        <v>224</v>
      </c>
      <c r="F115" s="4">
        <f>ROUND(Source!AR87,O115)</f>
        <v>112204.67</v>
      </c>
      <c r="G115" s="4" t="s">
        <v>139</v>
      </c>
      <c r="H115" s="4" t="s">
        <v>140</v>
      </c>
      <c r="I115" s="4"/>
      <c r="J115" s="4"/>
      <c r="K115" s="4">
        <v>224</v>
      </c>
      <c r="L115" s="4">
        <v>27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7" spans="1:245" x14ac:dyDescent="0.2">
      <c r="A117" s="1">
        <v>4</v>
      </c>
      <c r="B117" s="1">
        <v>1</v>
      </c>
      <c r="C117" s="1"/>
      <c r="D117" s="1">
        <f>ROW(A129)</f>
        <v>129</v>
      </c>
      <c r="E117" s="1"/>
      <c r="F117" s="1" t="s">
        <v>21</v>
      </c>
      <c r="G117" s="1" t="s">
        <v>198</v>
      </c>
      <c r="H117" s="1" t="s">
        <v>3</v>
      </c>
      <c r="I117" s="1">
        <v>0</v>
      </c>
      <c r="J117" s="1"/>
      <c r="K117" s="1">
        <v>-1</v>
      </c>
      <c r="L117" s="1"/>
      <c r="M117" s="1" t="s">
        <v>3</v>
      </c>
      <c r="N117" s="1"/>
      <c r="O117" s="1"/>
      <c r="P117" s="1"/>
      <c r="Q117" s="1"/>
      <c r="R117" s="1"/>
      <c r="S117" s="1">
        <v>0</v>
      </c>
      <c r="T117" s="1"/>
      <c r="U117" s="1" t="s">
        <v>3</v>
      </c>
      <c r="V117" s="1">
        <v>0</v>
      </c>
      <c r="W117" s="1"/>
      <c r="X117" s="1"/>
      <c r="Y117" s="1"/>
      <c r="Z117" s="1"/>
      <c r="AA117" s="1"/>
      <c r="AB117" s="1" t="s">
        <v>3</v>
      </c>
      <c r="AC117" s="1" t="s">
        <v>3</v>
      </c>
      <c r="AD117" s="1" t="s">
        <v>3</v>
      </c>
      <c r="AE117" s="1" t="s">
        <v>3</v>
      </c>
      <c r="AF117" s="1" t="s">
        <v>3</v>
      </c>
      <c r="AG117" s="1" t="s">
        <v>3</v>
      </c>
      <c r="AH117" s="1"/>
      <c r="AI117" s="1"/>
      <c r="AJ117" s="1"/>
      <c r="AK117" s="1"/>
      <c r="AL117" s="1"/>
      <c r="AM117" s="1"/>
      <c r="AN117" s="1"/>
      <c r="AO117" s="1"/>
      <c r="AP117" s="1" t="s">
        <v>3</v>
      </c>
      <c r="AQ117" s="1" t="s">
        <v>3</v>
      </c>
      <c r="AR117" s="1" t="s">
        <v>3</v>
      </c>
      <c r="AS117" s="1"/>
      <c r="AT117" s="1"/>
      <c r="AU117" s="1"/>
      <c r="AV117" s="1"/>
      <c r="AW117" s="1"/>
      <c r="AX117" s="1"/>
      <c r="AY117" s="1"/>
      <c r="AZ117" s="1" t="s">
        <v>3</v>
      </c>
      <c r="BA117" s="1"/>
      <c r="BB117" s="1" t="s">
        <v>3</v>
      </c>
      <c r="BC117" s="1" t="s">
        <v>3</v>
      </c>
      <c r="BD117" s="1" t="s">
        <v>3</v>
      </c>
      <c r="BE117" s="1" t="s">
        <v>3</v>
      </c>
      <c r="BF117" s="1" t="s">
        <v>3</v>
      </c>
      <c r="BG117" s="1" t="s">
        <v>3</v>
      </c>
      <c r="BH117" s="1" t="s">
        <v>3</v>
      </c>
      <c r="BI117" s="1" t="s">
        <v>3</v>
      </c>
      <c r="BJ117" s="1" t="s">
        <v>3</v>
      </c>
      <c r="BK117" s="1" t="s">
        <v>3</v>
      </c>
      <c r="BL117" s="1" t="s">
        <v>3</v>
      </c>
      <c r="BM117" s="1" t="s">
        <v>3</v>
      </c>
      <c r="BN117" s="1" t="s">
        <v>3</v>
      </c>
      <c r="BO117" s="1" t="s">
        <v>3</v>
      </c>
      <c r="BP117" s="1" t="s">
        <v>3</v>
      </c>
      <c r="BQ117" s="1"/>
      <c r="BR117" s="1"/>
      <c r="BS117" s="1"/>
      <c r="BT117" s="1"/>
      <c r="BU117" s="1"/>
      <c r="BV117" s="1"/>
      <c r="BW117" s="1"/>
      <c r="BX117" s="1">
        <v>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>
        <v>0</v>
      </c>
    </row>
    <row r="119" spans="1:245" x14ac:dyDescent="0.2">
      <c r="A119" s="2">
        <v>52</v>
      </c>
      <c r="B119" s="2">
        <f t="shared" ref="B119:G119" si="108">B129</f>
        <v>1</v>
      </c>
      <c r="C119" s="2">
        <f t="shared" si="108"/>
        <v>4</v>
      </c>
      <c r="D119" s="2">
        <f t="shared" si="108"/>
        <v>117</v>
      </c>
      <c r="E119" s="2">
        <f t="shared" si="108"/>
        <v>0</v>
      </c>
      <c r="F119" s="2" t="str">
        <f t="shared" si="108"/>
        <v>Новый раздел</v>
      </c>
      <c r="G119" s="2" t="str">
        <f t="shared" si="108"/>
        <v>Материалы, не учтенные ценником и оборудование.</v>
      </c>
      <c r="H119" s="2"/>
      <c r="I119" s="2"/>
      <c r="J119" s="2"/>
      <c r="K119" s="2"/>
      <c r="L119" s="2"/>
      <c r="M119" s="2"/>
      <c r="N119" s="2"/>
      <c r="O119" s="2">
        <f t="shared" ref="O119:AT119" si="109">O129</f>
        <v>1629538.04</v>
      </c>
      <c r="P119" s="2">
        <f t="shared" si="109"/>
        <v>1629538.04</v>
      </c>
      <c r="Q119" s="2">
        <f t="shared" si="109"/>
        <v>0</v>
      </c>
      <c r="R119" s="2">
        <f t="shared" si="109"/>
        <v>0</v>
      </c>
      <c r="S119" s="2">
        <f t="shared" si="109"/>
        <v>0</v>
      </c>
      <c r="T119" s="2">
        <f t="shared" si="109"/>
        <v>0</v>
      </c>
      <c r="U119" s="2">
        <f t="shared" si="109"/>
        <v>0</v>
      </c>
      <c r="V119" s="2">
        <f t="shared" si="109"/>
        <v>0</v>
      </c>
      <c r="W119" s="2">
        <f t="shared" si="109"/>
        <v>0</v>
      </c>
      <c r="X119" s="2">
        <f t="shared" si="109"/>
        <v>0</v>
      </c>
      <c r="Y119" s="2">
        <f t="shared" si="109"/>
        <v>0</v>
      </c>
      <c r="Z119" s="2">
        <f t="shared" si="109"/>
        <v>0</v>
      </c>
      <c r="AA119" s="2">
        <f t="shared" si="109"/>
        <v>0</v>
      </c>
      <c r="AB119" s="2">
        <f t="shared" si="109"/>
        <v>1629538.04</v>
      </c>
      <c r="AC119" s="2">
        <f t="shared" si="109"/>
        <v>1629538.04</v>
      </c>
      <c r="AD119" s="2">
        <f t="shared" si="109"/>
        <v>0</v>
      </c>
      <c r="AE119" s="2">
        <f t="shared" si="109"/>
        <v>0</v>
      </c>
      <c r="AF119" s="2">
        <f t="shared" si="109"/>
        <v>0</v>
      </c>
      <c r="AG119" s="2">
        <f t="shared" si="109"/>
        <v>0</v>
      </c>
      <c r="AH119" s="2">
        <f t="shared" si="109"/>
        <v>0</v>
      </c>
      <c r="AI119" s="2">
        <f t="shared" si="109"/>
        <v>0</v>
      </c>
      <c r="AJ119" s="2">
        <f t="shared" si="109"/>
        <v>0</v>
      </c>
      <c r="AK119" s="2">
        <f t="shared" si="109"/>
        <v>0</v>
      </c>
      <c r="AL119" s="2">
        <f t="shared" si="109"/>
        <v>0</v>
      </c>
      <c r="AM119" s="2">
        <f t="shared" si="109"/>
        <v>0</v>
      </c>
      <c r="AN119" s="2">
        <f t="shared" si="109"/>
        <v>0</v>
      </c>
      <c r="AO119" s="2">
        <f t="shared" si="109"/>
        <v>0</v>
      </c>
      <c r="AP119" s="2">
        <f t="shared" si="109"/>
        <v>0</v>
      </c>
      <c r="AQ119" s="2">
        <f t="shared" si="109"/>
        <v>0</v>
      </c>
      <c r="AR119" s="2">
        <f t="shared" si="109"/>
        <v>1629538.04</v>
      </c>
      <c r="AS119" s="2">
        <f t="shared" si="109"/>
        <v>0</v>
      </c>
      <c r="AT119" s="2">
        <f t="shared" si="109"/>
        <v>66128.179999999993</v>
      </c>
      <c r="AU119" s="2">
        <f t="shared" ref="AU119:BZ119" si="110">AU129</f>
        <v>1563409.86</v>
      </c>
      <c r="AV119" s="2">
        <f t="shared" si="110"/>
        <v>1629538.04</v>
      </c>
      <c r="AW119" s="2">
        <f t="shared" si="110"/>
        <v>1629538.04</v>
      </c>
      <c r="AX119" s="2">
        <f t="shared" si="110"/>
        <v>0</v>
      </c>
      <c r="AY119" s="2">
        <f t="shared" si="110"/>
        <v>1629538.04</v>
      </c>
      <c r="AZ119" s="2">
        <f t="shared" si="110"/>
        <v>0</v>
      </c>
      <c r="BA119" s="2">
        <f t="shared" si="110"/>
        <v>0</v>
      </c>
      <c r="BB119" s="2">
        <f t="shared" si="110"/>
        <v>0</v>
      </c>
      <c r="BC119" s="2">
        <f t="shared" si="110"/>
        <v>0</v>
      </c>
      <c r="BD119" s="2">
        <f t="shared" si="110"/>
        <v>0</v>
      </c>
      <c r="BE119" s="2">
        <f t="shared" si="110"/>
        <v>0</v>
      </c>
      <c r="BF119" s="2">
        <f t="shared" si="110"/>
        <v>0</v>
      </c>
      <c r="BG119" s="2">
        <f t="shared" si="110"/>
        <v>0</v>
      </c>
      <c r="BH119" s="2">
        <f t="shared" si="110"/>
        <v>0</v>
      </c>
      <c r="BI119" s="2">
        <f t="shared" si="110"/>
        <v>0</v>
      </c>
      <c r="BJ119" s="2">
        <f t="shared" si="110"/>
        <v>0</v>
      </c>
      <c r="BK119" s="2">
        <f t="shared" si="110"/>
        <v>0</v>
      </c>
      <c r="BL119" s="2">
        <f t="shared" si="110"/>
        <v>0</v>
      </c>
      <c r="BM119" s="2">
        <f t="shared" si="110"/>
        <v>0</v>
      </c>
      <c r="BN119" s="2">
        <f t="shared" si="110"/>
        <v>0</v>
      </c>
      <c r="BO119" s="2">
        <f t="shared" si="110"/>
        <v>0</v>
      </c>
      <c r="BP119" s="2">
        <f t="shared" si="110"/>
        <v>0</v>
      </c>
      <c r="BQ119" s="2">
        <f t="shared" si="110"/>
        <v>0</v>
      </c>
      <c r="BR119" s="2">
        <f t="shared" si="110"/>
        <v>0</v>
      </c>
      <c r="BS119" s="2">
        <f t="shared" si="110"/>
        <v>0</v>
      </c>
      <c r="BT119" s="2">
        <f t="shared" si="110"/>
        <v>0</v>
      </c>
      <c r="BU119" s="2">
        <f t="shared" si="110"/>
        <v>0</v>
      </c>
      <c r="BV119" s="2">
        <f t="shared" si="110"/>
        <v>0</v>
      </c>
      <c r="BW119" s="2">
        <f t="shared" si="110"/>
        <v>0</v>
      </c>
      <c r="BX119" s="2">
        <f t="shared" si="110"/>
        <v>0</v>
      </c>
      <c r="BY119" s="2">
        <f t="shared" si="110"/>
        <v>0</v>
      </c>
      <c r="BZ119" s="2">
        <f t="shared" si="110"/>
        <v>0</v>
      </c>
      <c r="CA119" s="2">
        <f t="shared" ref="CA119:DF119" si="111">CA129</f>
        <v>1629538.04</v>
      </c>
      <c r="CB119" s="2">
        <f t="shared" si="111"/>
        <v>0</v>
      </c>
      <c r="CC119" s="2">
        <f t="shared" si="111"/>
        <v>66128.179999999993</v>
      </c>
      <c r="CD119" s="2">
        <f t="shared" si="111"/>
        <v>1563409.86</v>
      </c>
      <c r="CE119" s="2">
        <f t="shared" si="111"/>
        <v>1629538.04</v>
      </c>
      <c r="CF119" s="2">
        <f t="shared" si="111"/>
        <v>1629538.04</v>
      </c>
      <c r="CG119" s="2">
        <f t="shared" si="111"/>
        <v>0</v>
      </c>
      <c r="CH119" s="2">
        <f t="shared" si="111"/>
        <v>1629538.04</v>
      </c>
      <c r="CI119" s="2">
        <f t="shared" si="111"/>
        <v>0</v>
      </c>
      <c r="CJ119" s="2">
        <f t="shared" si="111"/>
        <v>0</v>
      </c>
      <c r="CK119" s="2">
        <f t="shared" si="111"/>
        <v>0</v>
      </c>
      <c r="CL119" s="2">
        <f t="shared" si="111"/>
        <v>0</v>
      </c>
      <c r="CM119" s="2">
        <f t="shared" si="111"/>
        <v>0</v>
      </c>
      <c r="CN119" s="2">
        <f t="shared" si="111"/>
        <v>0</v>
      </c>
      <c r="CO119" s="2">
        <f t="shared" si="111"/>
        <v>0</v>
      </c>
      <c r="CP119" s="2">
        <f t="shared" si="111"/>
        <v>0</v>
      </c>
      <c r="CQ119" s="2">
        <f t="shared" si="111"/>
        <v>0</v>
      </c>
      <c r="CR119" s="2">
        <f t="shared" si="111"/>
        <v>0</v>
      </c>
      <c r="CS119" s="2">
        <f t="shared" si="111"/>
        <v>0</v>
      </c>
      <c r="CT119" s="2">
        <f t="shared" si="111"/>
        <v>0</v>
      </c>
      <c r="CU119" s="2">
        <f t="shared" si="111"/>
        <v>0</v>
      </c>
      <c r="CV119" s="2">
        <f t="shared" si="111"/>
        <v>0</v>
      </c>
      <c r="CW119" s="2">
        <f t="shared" si="111"/>
        <v>0</v>
      </c>
      <c r="CX119" s="2">
        <f t="shared" si="111"/>
        <v>0</v>
      </c>
      <c r="CY119" s="2">
        <f t="shared" si="111"/>
        <v>0</v>
      </c>
      <c r="CZ119" s="2">
        <f t="shared" si="111"/>
        <v>0</v>
      </c>
      <c r="DA119" s="2">
        <f t="shared" si="111"/>
        <v>0</v>
      </c>
      <c r="DB119" s="2">
        <f t="shared" si="111"/>
        <v>0</v>
      </c>
      <c r="DC119" s="2">
        <f t="shared" si="111"/>
        <v>0</v>
      </c>
      <c r="DD119" s="2">
        <f t="shared" si="111"/>
        <v>0</v>
      </c>
      <c r="DE119" s="2">
        <f t="shared" si="111"/>
        <v>0</v>
      </c>
      <c r="DF119" s="2">
        <f t="shared" si="111"/>
        <v>0</v>
      </c>
      <c r="DG119" s="3">
        <f t="shared" ref="DG119:EL119" si="112">DG129</f>
        <v>0</v>
      </c>
      <c r="DH119" s="3">
        <f t="shared" si="112"/>
        <v>0</v>
      </c>
      <c r="DI119" s="3">
        <f t="shared" si="112"/>
        <v>0</v>
      </c>
      <c r="DJ119" s="3">
        <f t="shared" si="112"/>
        <v>0</v>
      </c>
      <c r="DK119" s="3">
        <f t="shared" si="112"/>
        <v>0</v>
      </c>
      <c r="DL119" s="3">
        <f t="shared" si="112"/>
        <v>0</v>
      </c>
      <c r="DM119" s="3">
        <f t="shared" si="112"/>
        <v>0</v>
      </c>
      <c r="DN119" s="3">
        <f t="shared" si="112"/>
        <v>0</v>
      </c>
      <c r="DO119" s="3">
        <f t="shared" si="112"/>
        <v>0</v>
      </c>
      <c r="DP119" s="3">
        <f t="shared" si="112"/>
        <v>0</v>
      </c>
      <c r="DQ119" s="3">
        <f t="shared" si="112"/>
        <v>0</v>
      </c>
      <c r="DR119" s="3">
        <f t="shared" si="112"/>
        <v>0</v>
      </c>
      <c r="DS119" s="3">
        <f t="shared" si="112"/>
        <v>0</v>
      </c>
      <c r="DT119" s="3">
        <f t="shared" si="112"/>
        <v>0</v>
      </c>
      <c r="DU119" s="3">
        <f t="shared" si="112"/>
        <v>0</v>
      </c>
      <c r="DV119" s="3">
        <f t="shared" si="112"/>
        <v>0</v>
      </c>
      <c r="DW119" s="3">
        <f t="shared" si="112"/>
        <v>0</v>
      </c>
      <c r="DX119" s="3">
        <f t="shared" si="112"/>
        <v>0</v>
      </c>
      <c r="DY119" s="3">
        <f t="shared" si="112"/>
        <v>0</v>
      </c>
      <c r="DZ119" s="3">
        <f t="shared" si="112"/>
        <v>0</v>
      </c>
      <c r="EA119" s="3">
        <f t="shared" si="112"/>
        <v>0</v>
      </c>
      <c r="EB119" s="3">
        <f t="shared" si="112"/>
        <v>0</v>
      </c>
      <c r="EC119" s="3">
        <f t="shared" si="112"/>
        <v>0</v>
      </c>
      <c r="ED119" s="3">
        <f t="shared" si="112"/>
        <v>0</v>
      </c>
      <c r="EE119" s="3">
        <f t="shared" si="112"/>
        <v>0</v>
      </c>
      <c r="EF119" s="3">
        <f t="shared" si="112"/>
        <v>0</v>
      </c>
      <c r="EG119" s="3">
        <f t="shared" si="112"/>
        <v>0</v>
      </c>
      <c r="EH119" s="3">
        <f t="shared" si="112"/>
        <v>0</v>
      </c>
      <c r="EI119" s="3">
        <f t="shared" si="112"/>
        <v>0</v>
      </c>
      <c r="EJ119" s="3">
        <f t="shared" si="112"/>
        <v>0</v>
      </c>
      <c r="EK119" s="3">
        <f t="shared" si="112"/>
        <v>0</v>
      </c>
      <c r="EL119" s="3">
        <f t="shared" si="112"/>
        <v>0</v>
      </c>
      <c r="EM119" s="3">
        <f t="shared" ref="EM119:FR119" si="113">EM129</f>
        <v>0</v>
      </c>
      <c r="EN119" s="3">
        <f t="shared" si="113"/>
        <v>0</v>
      </c>
      <c r="EO119" s="3">
        <f t="shared" si="113"/>
        <v>0</v>
      </c>
      <c r="EP119" s="3">
        <f t="shared" si="113"/>
        <v>0</v>
      </c>
      <c r="EQ119" s="3">
        <f t="shared" si="113"/>
        <v>0</v>
      </c>
      <c r="ER119" s="3">
        <f t="shared" si="113"/>
        <v>0</v>
      </c>
      <c r="ES119" s="3">
        <f t="shared" si="113"/>
        <v>0</v>
      </c>
      <c r="ET119" s="3">
        <f t="shared" si="113"/>
        <v>0</v>
      </c>
      <c r="EU119" s="3">
        <f t="shared" si="113"/>
        <v>0</v>
      </c>
      <c r="EV119" s="3">
        <f t="shared" si="113"/>
        <v>0</v>
      </c>
      <c r="EW119" s="3">
        <f t="shared" si="113"/>
        <v>0</v>
      </c>
      <c r="EX119" s="3">
        <f t="shared" si="113"/>
        <v>0</v>
      </c>
      <c r="EY119" s="3">
        <f t="shared" si="113"/>
        <v>0</v>
      </c>
      <c r="EZ119" s="3">
        <f t="shared" si="113"/>
        <v>0</v>
      </c>
      <c r="FA119" s="3">
        <f t="shared" si="113"/>
        <v>0</v>
      </c>
      <c r="FB119" s="3">
        <f t="shared" si="113"/>
        <v>0</v>
      </c>
      <c r="FC119" s="3">
        <f t="shared" si="113"/>
        <v>0</v>
      </c>
      <c r="FD119" s="3">
        <f t="shared" si="113"/>
        <v>0</v>
      </c>
      <c r="FE119" s="3">
        <f t="shared" si="113"/>
        <v>0</v>
      </c>
      <c r="FF119" s="3">
        <f t="shared" si="113"/>
        <v>0</v>
      </c>
      <c r="FG119" s="3">
        <f t="shared" si="113"/>
        <v>0</v>
      </c>
      <c r="FH119" s="3">
        <f t="shared" si="113"/>
        <v>0</v>
      </c>
      <c r="FI119" s="3">
        <f t="shared" si="113"/>
        <v>0</v>
      </c>
      <c r="FJ119" s="3">
        <f t="shared" si="113"/>
        <v>0</v>
      </c>
      <c r="FK119" s="3">
        <f t="shared" si="113"/>
        <v>0</v>
      </c>
      <c r="FL119" s="3">
        <f t="shared" si="113"/>
        <v>0</v>
      </c>
      <c r="FM119" s="3">
        <f t="shared" si="113"/>
        <v>0</v>
      </c>
      <c r="FN119" s="3">
        <f t="shared" si="113"/>
        <v>0</v>
      </c>
      <c r="FO119" s="3">
        <f t="shared" si="113"/>
        <v>0</v>
      </c>
      <c r="FP119" s="3">
        <f t="shared" si="113"/>
        <v>0</v>
      </c>
      <c r="FQ119" s="3">
        <f t="shared" si="113"/>
        <v>0</v>
      </c>
      <c r="FR119" s="3">
        <f t="shared" si="113"/>
        <v>0</v>
      </c>
      <c r="FS119" s="3">
        <f t="shared" ref="FS119:GX119" si="114">FS129</f>
        <v>0</v>
      </c>
      <c r="FT119" s="3">
        <f t="shared" si="114"/>
        <v>0</v>
      </c>
      <c r="FU119" s="3">
        <f t="shared" si="114"/>
        <v>0</v>
      </c>
      <c r="FV119" s="3">
        <f t="shared" si="114"/>
        <v>0</v>
      </c>
      <c r="FW119" s="3">
        <f t="shared" si="114"/>
        <v>0</v>
      </c>
      <c r="FX119" s="3">
        <f t="shared" si="114"/>
        <v>0</v>
      </c>
      <c r="FY119" s="3">
        <f t="shared" si="114"/>
        <v>0</v>
      </c>
      <c r="FZ119" s="3">
        <f t="shared" si="114"/>
        <v>0</v>
      </c>
      <c r="GA119" s="3">
        <f t="shared" si="114"/>
        <v>0</v>
      </c>
      <c r="GB119" s="3">
        <f t="shared" si="114"/>
        <v>0</v>
      </c>
      <c r="GC119" s="3">
        <f t="shared" si="114"/>
        <v>0</v>
      </c>
      <c r="GD119" s="3">
        <f t="shared" si="114"/>
        <v>0</v>
      </c>
      <c r="GE119" s="3">
        <f t="shared" si="114"/>
        <v>0</v>
      </c>
      <c r="GF119" s="3">
        <f t="shared" si="114"/>
        <v>0</v>
      </c>
      <c r="GG119" s="3">
        <f t="shared" si="114"/>
        <v>0</v>
      </c>
      <c r="GH119" s="3">
        <f t="shared" si="114"/>
        <v>0</v>
      </c>
      <c r="GI119" s="3">
        <f t="shared" si="114"/>
        <v>0</v>
      </c>
      <c r="GJ119" s="3">
        <f t="shared" si="114"/>
        <v>0</v>
      </c>
      <c r="GK119" s="3">
        <f t="shared" si="114"/>
        <v>0</v>
      </c>
      <c r="GL119" s="3">
        <f t="shared" si="114"/>
        <v>0</v>
      </c>
      <c r="GM119" s="3">
        <f t="shared" si="114"/>
        <v>0</v>
      </c>
      <c r="GN119" s="3">
        <f t="shared" si="114"/>
        <v>0</v>
      </c>
      <c r="GO119" s="3">
        <f t="shared" si="114"/>
        <v>0</v>
      </c>
      <c r="GP119" s="3">
        <f t="shared" si="114"/>
        <v>0</v>
      </c>
      <c r="GQ119" s="3">
        <f t="shared" si="114"/>
        <v>0</v>
      </c>
      <c r="GR119" s="3">
        <f t="shared" si="114"/>
        <v>0</v>
      </c>
      <c r="GS119" s="3">
        <f t="shared" si="114"/>
        <v>0</v>
      </c>
      <c r="GT119" s="3">
        <f t="shared" si="114"/>
        <v>0</v>
      </c>
      <c r="GU119" s="3">
        <f t="shared" si="114"/>
        <v>0</v>
      </c>
      <c r="GV119" s="3">
        <f t="shared" si="114"/>
        <v>0</v>
      </c>
      <c r="GW119" s="3">
        <f t="shared" si="114"/>
        <v>0</v>
      </c>
      <c r="GX119" s="3">
        <f t="shared" si="114"/>
        <v>0</v>
      </c>
    </row>
    <row r="121" spans="1:245" x14ac:dyDescent="0.2">
      <c r="A121">
        <v>17</v>
      </c>
      <c r="B121">
        <v>1</v>
      </c>
      <c r="E121" t="s">
        <v>199</v>
      </c>
      <c r="F121" t="s">
        <v>200</v>
      </c>
      <c r="G121" t="s">
        <v>201</v>
      </c>
      <c r="H121" t="s">
        <v>202</v>
      </c>
      <c r="I121">
        <f>ROUND(I32/10,9)</f>
        <v>0.11700000000000001</v>
      </c>
      <c r="J121">
        <v>0</v>
      </c>
      <c r="O121">
        <f t="shared" ref="O121:O127" si="115">ROUND(CP121,2)</f>
        <v>18782.259999999998</v>
      </c>
      <c r="P121">
        <f t="shared" ref="P121:P127" si="116">ROUND((ROUND((AC121*AW121*I121),2)*BC121),2)</f>
        <v>18782.259999999998</v>
      </c>
      <c r="Q121">
        <f t="shared" ref="Q121:Q127" si="117">(ROUND((ROUND(((ET121)*AV121*I121),2)*BB121),2)+ROUND((ROUND(((AE121-(EU121))*AV121*I121),2)*BS121),2))</f>
        <v>0</v>
      </c>
      <c r="R121">
        <f t="shared" ref="R121:R127" si="118">ROUND((ROUND((AE121*AV121*I121),2)*BS121),2)</f>
        <v>0</v>
      </c>
      <c r="S121">
        <f t="shared" ref="S121:S127" si="119">ROUND((ROUND((AF121*AV121*I121),2)*BA121),2)</f>
        <v>0</v>
      </c>
      <c r="T121">
        <f t="shared" ref="T121:T127" si="120">ROUND(CU121*I121,2)</f>
        <v>0</v>
      </c>
      <c r="U121">
        <f t="shared" ref="U121:U127" si="121">CV121*I121</f>
        <v>0</v>
      </c>
      <c r="V121">
        <f t="shared" ref="V121:V127" si="122">CW121*I121</f>
        <v>0</v>
      </c>
      <c r="W121">
        <f t="shared" ref="W121:W127" si="123">ROUND(CX121*I121,2)</f>
        <v>0</v>
      </c>
      <c r="X121">
        <f t="shared" ref="X121:Y127" si="124">ROUND(CY121,2)</f>
        <v>0</v>
      </c>
      <c r="Y121">
        <f t="shared" si="124"/>
        <v>0</v>
      </c>
      <c r="AA121">
        <v>23680976</v>
      </c>
      <c r="AB121">
        <f t="shared" ref="AB121:AB127" si="125">ROUND((AC121+AD121+AF121),6)</f>
        <v>19941.89</v>
      </c>
      <c r="AC121">
        <f t="shared" ref="AC121:AC127" si="126">ROUND((ES121),6)</f>
        <v>19941.89</v>
      </c>
      <c r="AD121">
        <f t="shared" ref="AD121:AD127" si="127">ROUND((((ET121)-(EU121))+AE121),6)</f>
        <v>0</v>
      </c>
      <c r="AE121">
        <f t="shared" ref="AE121:AF127" si="128">ROUND((EU121),6)</f>
        <v>0</v>
      </c>
      <c r="AF121">
        <f t="shared" si="128"/>
        <v>0</v>
      </c>
      <c r="AG121">
        <f t="shared" ref="AG121:AG127" si="129">ROUND((AP121),6)</f>
        <v>0</v>
      </c>
      <c r="AH121">
        <f t="shared" ref="AH121:AI127" si="130">(EW121)</f>
        <v>0</v>
      </c>
      <c r="AI121">
        <f t="shared" si="130"/>
        <v>0</v>
      </c>
      <c r="AJ121">
        <f t="shared" ref="AJ121:AJ127" si="131">(AS121)</f>
        <v>0</v>
      </c>
      <c r="AK121">
        <v>19941.89</v>
      </c>
      <c r="AL121">
        <v>19941.89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8.0500000000000007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2</v>
      </c>
      <c r="BJ121" t="s">
        <v>203</v>
      </c>
      <c r="BM121">
        <v>1618</v>
      </c>
      <c r="BN121">
        <v>0</v>
      </c>
      <c r="BO121" t="s">
        <v>200</v>
      </c>
      <c r="BP121">
        <v>1</v>
      </c>
      <c r="BQ121">
        <v>201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0</v>
      </c>
      <c r="CA121">
        <v>0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 t="shared" ref="CP121:CP127" si="132">(P121+Q121+S121)</f>
        <v>18782.259999999998</v>
      </c>
      <c r="CQ121">
        <f t="shared" ref="CQ121:CQ127" si="133">ROUND((ROUND((AC121*AW121*1),2)*BC121),2)</f>
        <v>160532.21</v>
      </c>
      <c r="CR121">
        <f t="shared" ref="CR121:CR127" si="134">(ROUND((ROUND(((ET121)*AV121*1),2)*BB121),2)+ROUND((ROUND(((AE121-(EU121))*AV121*1),2)*BS121),2))</f>
        <v>0</v>
      </c>
      <c r="CS121">
        <f t="shared" ref="CS121:CS127" si="135">ROUND((ROUND((AE121*AV121*1),2)*BS121),2)</f>
        <v>0</v>
      </c>
      <c r="CT121">
        <f t="shared" ref="CT121:CT127" si="136">ROUND((ROUND((AF121*AV121*1),2)*BA121),2)</f>
        <v>0</v>
      </c>
      <c r="CU121">
        <f t="shared" ref="CU121:CU127" si="137">AG121</f>
        <v>0</v>
      </c>
      <c r="CV121">
        <f t="shared" ref="CV121:CV127" si="138">(AH121*AV121)</f>
        <v>0</v>
      </c>
      <c r="CW121">
        <f t="shared" ref="CW121:CX127" si="139">AI121</f>
        <v>0</v>
      </c>
      <c r="CX121">
        <f t="shared" si="139"/>
        <v>0</v>
      </c>
      <c r="CY121">
        <f t="shared" ref="CY121:CY127" si="140">S121*(BZ121/100)</f>
        <v>0</v>
      </c>
      <c r="CZ121">
        <f t="shared" ref="CZ121:CZ127" si="141">S121*(CA121/100)</f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1003</v>
      </c>
      <c r="DV121" t="s">
        <v>202</v>
      </c>
      <c r="DW121" t="s">
        <v>202</v>
      </c>
      <c r="DX121">
        <v>1000</v>
      </c>
      <c r="DZ121" t="s">
        <v>3</v>
      </c>
      <c r="EA121" t="s">
        <v>3</v>
      </c>
      <c r="EB121" t="s">
        <v>3</v>
      </c>
      <c r="EC121" t="s">
        <v>3</v>
      </c>
      <c r="EE121">
        <v>22828459</v>
      </c>
      <c r="EF121">
        <v>201</v>
      </c>
      <c r="EG121" t="s">
        <v>204</v>
      </c>
      <c r="EH121">
        <v>0</v>
      </c>
      <c r="EI121" t="s">
        <v>3</v>
      </c>
      <c r="EJ121">
        <v>2</v>
      </c>
      <c r="EK121">
        <v>1618</v>
      </c>
      <c r="EL121" t="s">
        <v>205</v>
      </c>
      <c r="EM121" t="s">
        <v>206</v>
      </c>
      <c r="EO121" t="s">
        <v>3</v>
      </c>
      <c r="EQ121">
        <v>0</v>
      </c>
      <c r="ER121">
        <v>19941.89</v>
      </c>
      <c r="ES121">
        <v>19941.89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FQ121">
        <v>0</v>
      </c>
      <c r="FR121">
        <f t="shared" ref="FR121:FR127" si="142">ROUND(IF(AND(BH121=3,BI121=3),P121,0),2)</f>
        <v>0</v>
      </c>
      <c r="FS121">
        <v>0</v>
      </c>
      <c r="FX121">
        <v>0</v>
      </c>
      <c r="FY121">
        <v>0</v>
      </c>
      <c r="GA121" t="s">
        <v>3</v>
      </c>
      <c r="GD121">
        <v>0</v>
      </c>
      <c r="GF121">
        <v>1699609350</v>
      </c>
      <c r="GG121">
        <v>2</v>
      </c>
      <c r="GH121">
        <v>1</v>
      </c>
      <c r="GI121">
        <v>2</v>
      </c>
      <c r="GJ121">
        <v>0</v>
      </c>
      <c r="GK121">
        <f>ROUND(R121*(R12)/100,2)</f>
        <v>0</v>
      </c>
      <c r="GL121">
        <f t="shared" ref="GL121:GL127" si="143">ROUND(IF(AND(BH121=3,BI121=3,FS121&lt;&gt;0),P121,0),2)</f>
        <v>0</v>
      </c>
      <c r="GM121">
        <f t="shared" ref="GM121:GM127" si="144">ROUND(O121+X121+Y121+GK121,2)+GX121</f>
        <v>18782.259999999998</v>
      </c>
      <c r="GN121">
        <f t="shared" ref="GN121:GN127" si="145">IF(OR(BI121=0,BI121=1),ROUND(O121+X121+Y121+GK121,2),0)</f>
        <v>0</v>
      </c>
      <c r="GO121">
        <f t="shared" ref="GO121:GO127" si="146">IF(BI121=2,ROUND(O121+X121+Y121+GK121,2),0)</f>
        <v>18782.259999999998</v>
      </c>
      <c r="GP121">
        <f t="shared" ref="GP121:GP127" si="147">IF(BI121=4,ROUND(O121+X121+Y121+GK121,2)+GX121,0)</f>
        <v>0</v>
      </c>
      <c r="GR121">
        <v>0</v>
      </c>
      <c r="GS121">
        <v>0</v>
      </c>
      <c r="GT121">
        <v>0</v>
      </c>
      <c r="GU121" t="s">
        <v>3</v>
      </c>
      <c r="GV121">
        <f t="shared" ref="GV121:GV127" si="148">ROUND((GT121),6)</f>
        <v>0</v>
      </c>
      <c r="GW121">
        <v>1</v>
      </c>
      <c r="GX121">
        <f t="shared" ref="GX121:GX127" si="149">ROUND(HC121*I121,2)</f>
        <v>0</v>
      </c>
      <c r="HA121">
        <v>0</v>
      </c>
      <c r="HB121">
        <v>0</v>
      </c>
      <c r="HC121">
        <f t="shared" ref="HC121:HC127" si="150">GV121*GW121</f>
        <v>0</v>
      </c>
      <c r="HE121" t="s">
        <v>3</v>
      </c>
      <c r="HF121" t="s">
        <v>3</v>
      </c>
      <c r="IK121">
        <v>0</v>
      </c>
    </row>
    <row r="122" spans="1:245" x14ac:dyDescent="0.2">
      <c r="A122">
        <v>17</v>
      </c>
      <c r="B122">
        <v>1</v>
      </c>
      <c r="E122" t="s">
        <v>207</v>
      </c>
      <c r="F122" t="s">
        <v>208</v>
      </c>
      <c r="G122" t="s">
        <v>209</v>
      </c>
      <c r="H122" t="s">
        <v>202</v>
      </c>
      <c r="I122">
        <f>ROUND(I33/10,9)</f>
        <v>1.7999999999999999E-2</v>
      </c>
      <c r="J122">
        <v>0</v>
      </c>
      <c r="O122">
        <f t="shared" si="115"/>
        <v>6134.62</v>
      </c>
      <c r="P122">
        <f t="shared" si="116"/>
        <v>6134.62</v>
      </c>
      <c r="Q122">
        <f t="shared" si="117"/>
        <v>0</v>
      </c>
      <c r="R122">
        <f t="shared" si="118"/>
        <v>0</v>
      </c>
      <c r="S122">
        <f t="shared" si="119"/>
        <v>0</v>
      </c>
      <c r="T122">
        <f t="shared" si="120"/>
        <v>0</v>
      </c>
      <c r="U122">
        <f t="shared" si="121"/>
        <v>0</v>
      </c>
      <c r="V122">
        <f t="shared" si="122"/>
        <v>0</v>
      </c>
      <c r="W122">
        <f t="shared" si="123"/>
        <v>0</v>
      </c>
      <c r="X122">
        <f t="shared" si="124"/>
        <v>0</v>
      </c>
      <c r="Y122">
        <f t="shared" si="124"/>
        <v>0</v>
      </c>
      <c r="AA122">
        <v>23680976</v>
      </c>
      <c r="AB122">
        <f t="shared" si="125"/>
        <v>99361.96</v>
      </c>
      <c r="AC122">
        <f t="shared" si="126"/>
        <v>99361.96</v>
      </c>
      <c r="AD122">
        <f t="shared" si="127"/>
        <v>0</v>
      </c>
      <c r="AE122">
        <f t="shared" si="128"/>
        <v>0</v>
      </c>
      <c r="AF122">
        <f t="shared" si="128"/>
        <v>0</v>
      </c>
      <c r="AG122">
        <f t="shared" si="129"/>
        <v>0</v>
      </c>
      <c r="AH122">
        <f t="shared" si="130"/>
        <v>0</v>
      </c>
      <c r="AI122">
        <f t="shared" si="130"/>
        <v>0</v>
      </c>
      <c r="AJ122">
        <f t="shared" si="131"/>
        <v>0</v>
      </c>
      <c r="AK122">
        <v>99361.96</v>
      </c>
      <c r="AL122">
        <v>99361.96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3.43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2</v>
      </c>
      <c r="BJ122" t="s">
        <v>210</v>
      </c>
      <c r="BM122">
        <v>1618</v>
      </c>
      <c r="BN122">
        <v>0</v>
      </c>
      <c r="BO122" t="s">
        <v>208</v>
      </c>
      <c r="BP122">
        <v>1</v>
      </c>
      <c r="BQ122">
        <v>201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si="132"/>
        <v>6134.62</v>
      </c>
      <c r="CQ122">
        <f t="shared" si="133"/>
        <v>340811.52000000002</v>
      </c>
      <c r="CR122">
        <f t="shared" si="134"/>
        <v>0</v>
      </c>
      <c r="CS122">
        <f t="shared" si="135"/>
        <v>0</v>
      </c>
      <c r="CT122">
        <f t="shared" si="136"/>
        <v>0</v>
      </c>
      <c r="CU122">
        <f t="shared" si="137"/>
        <v>0</v>
      </c>
      <c r="CV122">
        <f t="shared" si="138"/>
        <v>0</v>
      </c>
      <c r="CW122">
        <f t="shared" si="139"/>
        <v>0</v>
      </c>
      <c r="CX122">
        <f t="shared" si="139"/>
        <v>0</v>
      </c>
      <c r="CY122">
        <f t="shared" si="140"/>
        <v>0</v>
      </c>
      <c r="CZ122">
        <f t="shared" si="141"/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1003</v>
      </c>
      <c r="DV122" t="s">
        <v>202</v>
      </c>
      <c r="DW122" t="s">
        <v>202</v>
      </c>
      <c r="DX122">
        <v>1000</v>
      </c>
      <c r="DZ122" t="s">
        <v>3</v>
      </c>
      <c r="EA122" t="s">
        <v>3</v>
      </c>
      <c r="EB122" t="s">
        <v>3</v>
      </c>
      <c r="EC122" t="s">
        <v>3</v>
      </c>
      <c r="EE122">
        <v>22828459</v>
      </c>
      <c r="EF122">
        <v>201</v>
      </c>
      <c r="EG122" t="s">
        <v>204</v>
      </c>
      <c r="EH122">
        <v>0</v>
      </c>
      <c r="EI122" t="s">
        <v>3</v>
      </c>
      <c r="EJ122">
        <v>2</v>
      </c>
      <c r="EK122">
        <v>1618</v>
      </c>
      <c r="EL122" t="s">
        <v>205</v>
      </c>
      <c r="EM122" t="s">
        <v>206</v>
      </c>
      <c r="EO122" t="s">
        <v>3</v>
      </c>
      <c r="EQ122">
        <v>0</v>
      </c>
      <c r="ER122">
        <v>99361.96</v>
      </c>
      <c r="ES122">
        <v>99361.96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FQ122">
        <v>0</v>
      </c>
      <c r="FR122">
        <f t="shared" si="142"/>
        <v>0</v>
      </c>
      <c r="FS122">
        <v>0</v>
      </c>
      <c r="FX122">
        <v>0</v>
      </c>
      <c r="FY122">
        <v>0</v>
      </c>
      <c r="GA122" t="s">
        <v>3</v>
      </c>
      <c r="GD122">
        <v>0</v>
      </c>
      <c r="GF122">
        <v>-1592107865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 t="shared" si="143"/>
        <v>0</v>
      </c>
      <c r="GM122">
        <f t="shared" si="144"/>
        <v>6134.62</v>
      </c>
      <c r="GN122">
        <f t="shared" si="145"/>
        <v>0</v>
      </c>
      <c r="GO122">
        <f t="shared" si="146"/>
        <v>6134.62</v>
      </c>
      <c r="GP122">
        <f t="shared" si="147"/>
        <v>0</v>
      </c>
      <c r="GR122">
        <v>0</v>
      </c>
      <c r="GS122">
        <v>0</v>
      </c>
      <c r="GT122">
        <v>0</v>
      </c>
      <c r="GU122" t="s">
        <v>3</v>
      </c>
      <c r="GV122">
        <f t="shared" si="148"/>
        <v>0</v>
      </c>
      <c r="GW122">
        <v>1</v>
      </c>
      <c r="GX122">
        <f t="shared" si="149"/>
        <v>0</v>
      </c>
      <c r="HA122">
        <v>0</v>
      </c>
      <c r="HB122">
        <v>0</v>
      </c>
      <c r="HC122">
        <f t="shared" si="150"/>
        <v>0</v>
      </c>
      <c r="HE122" t="s">
        <v>3</v>
      </c>
      <c r="HF122" t="s">
        <v>3</v>
      </c>
      <c r="IK122">
        <v>0</v>
      </c>
    </row>
    <row r="123" spans="1:245" x14ac:dyDescent="0.2">
      <c r="A123">
        <v>17</v>
      </c>
      <c r="B123">
        <v>1</v>
      </c>
      <c r="E123" t="s">
        <v>211</v>
      </c>
      <c r="F123" t="s">
        <v>212</v>
      </c>
      <c r="G123" t="s">
        <v>213</v>
      </c>
      <c r="H123" t="s">
        <v>202</v>
      </c>
      <c r="I123">
        <f>ROUND(I35/10,9)</f>
        <v>3.5999999999999997E-2</v>
      </c>
      <c r="J123">
        <v>0</v>
      </c>
      <c r="O123">
        <f t="shared" si="115"/>
        <v>20927.53</v>
      </c>
      <c r="P123">
        <f t="shared" si="116"/>
        <v>20927.53</v>
      </c>
      <c r="Q123">
        <f t="shared" si="117"/>
        <v>0</v>
      </c>
      <c r="R123">
        <f t="shared" si="118"/>
        <v>0</v>
      </c>
      <c r="S123">
        <f t="shared" si="119"/>
        <v>0</v>
      </c>
      <c r="T123">
        <f t="shared" si="120"/>
        <v>0</v>
      </c>
      <c r="U123">
        <f t="shared" si="121"/>
        <v>0</v>
      </c>
      <c r="V123">
        <f t="shared" si="122"/>
        <v>0</v>
      </c>
      <c r="W123">
        <f t="shared" si="123"/>
        <v>0</v>
      </c>
      <c r="X123">
        <f t="shared" si="124"/>
        <v>0</v>
      </c>
      <c r="Y123">
        <f t="shared" si="124"/>
        <v>0</v>
      </c>
      <c r="AA123">
        <v>23680976</v>
      </c>
      <c r="AB123">
        <f t="shared" si="125"/>
        <v>140415.53</v>
      </c>
      <c r="AC123">
        <f t="shared" si="126"/>
        <v>140415.53</v>
      </c>
      <c r="AD123">
        <f t="shared" si="127"/>
        <v>0</v>
      </c>
      <c r="AE123">
        <f t="shared" si="128"/>
        <v>0</v>
      </c>
      <c r="AF123">
        <f t="shared" si="128"/>
        <v>0</v>
      </c>
      <c r="AG123">
        <f t="shared" si="129"/>
        <v>0</v>
      </c>
      <c r="AH123">
        <f t="shared" si="130"/>
        <v>0</v>
      </c>
      <c r="AI123">
        <f t="shared" si="130"/>
        <v>0</v>
      </c>
      <c r="AJ123">
        <f t="shared" si="131"/>
        <v>0</v>
      </c>
      <c r="AK123">
        <v>140415.53</v>
      </c>
      <c r="AL123">
        <v>140415.53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4.1399999999999997</v>
      </c>
      <c r="BD123" t="s">
        <v>3</v>
      </c>
      <c r="BE123" t="s">
        <v>3</v>
      </c>
      <c r="BF123" t="s">
        <v>3</v>
      </c>
      <c r="BG123" t="s">
        <v>3</v>
      </c>
      <c r="BH123">
        <v>3</v>
      </c>
      <c r="BI123">
        <v>2</v>
      </c>
      <c r="BJ123" t="s">
        <v>214</v>
      </c>
      <c r="BM123">
        <v>1618</v>
      </c>
      <c r="BN123">
        <v>0</v>
      </c>
      <c r="BO123" t="s">
        <v>212</v>
      </c>
      <c r="BP123">
        <v>1</v>
      </c>
      <c r="BQ123">
        <v>201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</v>
      </c>
      <c r="BZ123">
        <v>0</v>
      </c>
      <c r="CA123">
        <v>0</v>
      </c>
      <c r="CE123">
        <v>30</v>
      </c>
      <c r="CF123">
        <v>0</v>
      </c>
      <c r="CG123">
        <v>0</v>
      </c>
      <c r="CM123">
        <v>0</v>
      </c>
      <c r="CN123" t="s">
        <v>3</v>
      </c>
      <c r="CO123">
        <v>0</v>
      </c>
      <c r="CP123">
        <f t="shared" si="132"/>
        <v>20927.53</v>
      </c>
      <c r="CQ123">
        <f t="shared" si="133"/>
        <v>581320.29</v>
      </c>
      <c r="CR123">
        <f t="shared" si="134"/>
        <v>0</v>
      </c>
      <c r="CS123">
        <f t="shared" si="135"/>
        <v>0</v>
      </c>
      <c r="CT123">
        <f t="shared" si="136"/>
        <v>0</v>
      </c>
      <c r="CU123">
        <f t="shared" si="137"/>
        <v>0</v>
      </c>
      <c r="CV123">
        <f t="shared" si="138"/>
        <v>0</v>
      </c>
      <c r="CW123">
        <f t="shared" si="139"/>
        <v>0</v>
      </c>
      <c r="CX123">
        <f t="shared" si="139"/>
        <v>0</v>
      </c>
      <c r="CY123">
        <f t="shared" si="140"/>
        <v>0</v>
      </c>
      <c r="CZ123">
        <f t="shared" si="141"/>
        <v>0</v>
      </c>
      <c r="DC123" t="s">
        <v>3</v>
      </c>
      <c r="DD123" t="s">
        <v>3</v>
      </c>
      <c r="DE123" t="s">
        <v>3</v>
      </c>
      <c r="DF123" t="s">
        <v>3</v>
      </c>
      <c r="DG123" t="s">
        <v>3</v>
      </c>
      <c r="DH123" t="s">
        <v>3</v>
      </c>
      <c r="DI123" t="s">
        <v>3</v>
      </c>
      <c r="DJ123" t="s">
        <v>3</v>
      </c>
      <c r="DK123" t="s">
        <v>3</v>
      </c>
      <c r="DL123" t="s">
        <v>3</v>
      </c>
      <c r="DM123" t="s">
        <v>3</v>
      </c>
      <c r="DN123">
        <v>0</v>
      </c>
      <c r="DO123">
        <v>0</v>
      </c>
      <c r="DP123">
        <v>1</v>
      </c>
      <c r="DQ123">
        <v>1</v>
      </c>
      <c r="DU123">
        <v>1003</v>
      </c>
      <c r="DV123" t="s">
        <v>202</v>
      </c>
      <c r="DW123" t="s">
        <v>202</v>
      </c>
      <c r="DX123">
        <v>1000</v>
      </c>
      <c r="DZ123" t="s">
        <v>3</v>
      </c>
      <c r="EA123" t="s">
        <v>3</v>
      </c>
      <c r="EB123" t="s">
        <v>3</v>
      </c>
      <c r="EC123" t="s">
        <v>3</v>
      </c>
      <c r="EE123">
        <v>22828459</v>
      </c>
      <c r="EF123">
        <v>201</v>
      </c>
      <c r="EG123" t="s">
        <v>204</v>
      </c>
      <c r="EH123">
        <v>0</v>
      </c>
      <c r="EI123" t="s">
        <v>3</v>
      </c>
      <c r="EJ123">
        <v>2</v>
      </c>
      <c r="EK123">
        <v>1618</v>
      </c>
      <c r="EL123" t="s">
        <v>205</v>
      </c>
      <c r="EM123" t="s">
        <v>206</v>
      </c>
      <c r="EO123" t="s">
        <v>3</v>
      </c>
      <c r="EQ123">
        <v>0</v>
      </c>
      <c r="ER123">
        <v>140415.53</v>
      </c>
      <c r="ES123">
        <v>140415.53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FQ123">
        <v>0</v>
      </c>
      <c r="FR123">
        <f t="shared" si="142"/>
        <v>0</v>
      </c>
      <c r="FS123">
        <v>0</v>
      </c>
      <c r="FX123">
        <v>0</v>
      </c>
      <c r="FY123">
        <v>0</v>
      </c>
      <c r="GA123" t="s">
        <v>3</v>
      </c>
      <c r="GD123">
        <v>0</v>
      </c>
      <c r="GF123">
        <v>1615851027</v>
      </c>
      <c r="GG123">
        <v>2</v>
      </c>
      <c r="GH123">
        <v>1</v>
      </c>
      <c r="GI123">
        <v>2</v>
      </c>
      <c r="GJ123">
        <v>0</v>
      </c>
      <c r="GK123">
        <f>ROUND(R123*(R12)/100,2)</f>
        <v>0</v>
      </c>
      <c r="GL123">
        <f t="shared" si="143"/>
        <v>0</v>
      </c>
      <c r="GM123">
        <f t="shared" si="144"/>
        <v>20927.53</v>
      </c>
      <c r="GN123">
        <f t="shared" si="145"/>
        <v>0</v>
      </c>
      <c r="GO123">
        <f t="shared" si="146"/>
        <v>20927.53</v>
      </c>
      <c r="GP123">
        <f t="shared" si="147"/>
        <v>0</v>
      </c>
      <c r="GR123">
        <v>0</v>
      </c>
      <c r="GS123">
        <v>3</v>
      </c>
      <c r="GT123">
        <v>0</v>
      </c>
      <c r="GU123" t="s">
        <v>3</v>
      </c>
      <c r="GV123">
        <f t="shared" si="148"/>
        <v>0</v>
      </c>
      <c r="GW123">
        <v>1</v>
      </c>
      <c r="GX123">
        <f t="shared" si="149"/>
        <v>0</v>
      </c>
      <c r="HA123">
        <v>0</v>
      </c>
      <c r="HB123">
        <v>0</v>
      </c>
      <c r="HC123">
        <f t="shared" si="150"/>
        <v>0</v>
      </c>
      <c r="HE123" t="s">
        <v>3</v>
      </c>
      <c r="HF123" t="s">
        <v>3</v>
      </c>
      <c r="IK123">
        <v>0</v>
      </c>
    </row>
    <row r="124" spans="1:245" x14ac:dyDescent="0.2">
      <c r="A124">
        <v>17</v>
      </c>
      <c r="B124">
        <v>1</v>
      </c>
      <c r="E124" t="s">
        <v>215</v>
      </c>
      <c r="F124" t="s">
        <v>216</v>
      </c>
      <c r="G124" t="s">
        <v>217</v>
      </c>
      <c r="H124" t="s">
        <v>218</v>
      </c>
      <c r="I124">
        <v>8</v>
      </c>
      <c r="J124">
        <v>0</v>
      </c>
      <c r="O124">
        <f t="shared" si="115"/>
        <v>6711.03</v>
      </c>
      <c r="P124">
        <f t="shared" si="116"/>
        <v>6711.03</v>
      </c>
      <c r="Q124">
        <f t="shared" si="117"/>
        <v>0</v>
      </c>
      <c r="R124">
        <f t="shared" si="118"/>
        <v>0</v>
      </c>
      <c r="S124">
        <f t="shared" si="119"/>
        <v>0</v>
      </c>
      <c r="T124">
        <f t="shared" si="120"/>
        <v>0</v>
      </c>
      <c r="U124">
        <f t="shared" si="121"/>
        <v>0</v>
      </c>
      <c r="V124">
        <f t="shared" si="122"/>
        <v>0</v>
      </c>
      <c r="W124">
        <f t="shared" si="123"/>
        <v>0</v>
      </c>
      <c r="X124">
        <f t="shared" si="124"/>
        <v>0</v>
      </c>
      <c r="Y124">
        <f t="shared" si="124"/>
        <v>0</v>
      </c>
      <c r="AA124">
        <v>23680976</v>
      </c>
      <c r="AB124">
        <f t="shared" si="125"/>
        <v>306.16000000000003</v>
      </c>
      <c r="AC124">
        <f t="shared" si="126"/>
        <v>306.16000000000003</v>
      </c>
      <c r="AD124">
        <f t="shared" si="127"/>
        <v>0</v>
      </c>
      <c r="AE124">
        <f t="shared" si="128"/>
        <v>0</v>
      </c>
      <c r="AF124">
        <f t="shared" si="128"/>
        <v>0</v>
      </c>
      <c r="AG124">
        <f t="shared" si="129"/>
        <v>0</v>
      </c>
      <c r="AH124">
        <f t="shared" si="130"/>
        <v>0</v>
      </c>
      <c r="AI124">
        <f t="shared" si="130"/>
        <v>0</v>
      </c>
      <c r="AJ124">
        <f t="shared" si="131"/>
        <v>0</v>
      </c>
      <c r="AK124">
        <v>306.16000000000003</v>
      </c>
      <c r="AL124">
        <v>306.16000000000003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2.74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219</v>
      </c>
      <c r="BM124">
        <v>1618</v>
      </c>
      <c r="BN124">
        <v>0</v>
      </c>
      <c r="BO124" t="s">
        <v>216</v>
      </c>
      <c r="BP124">
        <v>1</v>
      </c>
      <c r="BQ124">
        <v>201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32"/>
        <v>6711.03</v>
      </c>
      <c r="CQ124">
        <f t="shared" si="133"/>
        <v>838.88</v>
      </c>
      <c r="CR124">
        <f t="shared" si="134"/>
        <v>0</v>
      </c>
      <c r="CS124">
        <f t="shared" si="135"/>
        <v>0</v>
      </c>
      <c r="CT124">
        <f t="shared" si="136"/>
        <v>0</v>
      </c>
      <c r="CU124">
        <f t="shared" si="137"/>
        <v>0</v>
      </c>
      <c r="CV124">
        <f t="shared" si="138"/>
        <v>0</v>
      </c>
      <c r="CW124">
        <f t="shared" si="139"/>
        <v>0</v>
      </c>
      <c r="CX124">
        <f t="shared" si="139"/>
        <v>0</v>
      </c>
      <c r="CY124">
        <f t="shared" si="140"/>
        <v>0</v>
      </c>
      <c r="CZ124">
        <f t="shared" si="141"/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1013</v>
      </c>
      <c r="DV124" t="s">
        <v>218</v>
      </c>
      <c r="DW124" t="s">
        <v>218</v>
      </c>
      <c r="DX124">
        <v>1</v>
      </c>
      <c r="DZ124" t="s">
        <v>3</v>
      </c>
      <c r="EA124" t="s">
        <v>3</v>
      </c>
      <c r="EB124" t="s">
        <v>3</v>
      </c>
      <c r="EC124" t="s">
        <v>3</v>
      </c>
      <c r="EE124">
        <v>22828459</v>
      </c>
      <c r="EF124">
        <v>201</v>
      </c>
      <c r="EG124" t="s">
        <v>204</v>
      </c>
      <c r="EH124">
        <v>0</v>
      </c>
      <c r="EI124" t="s">
        <v>3</v>
      </c>
      <c r="EJ124">
        <v>2</v>
      </c>
      <c r="EK124">
        <v>1618</v>
      </c>
      <c r="EL124" t="s">
        <v>205</v>
      </c>
      <c r="EM124" t="s">
        <v>206</v>
      </c>
      <c r="EO124" t="s">
        <v>3</v>
      </c>
      <c r="EQ124">
        <v>0</v>
      </c>
      <c r="ER124">
        <v>306.16000000000003</v>
      </c>
      <c r="ES124">
        <v>306.16000000000003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FQ124">
        <v>0</v>
      </c>
      <c r="FR124">
        <f t="shared" si="142"/>
        <v>0</v>
      </c>
      <c r="FS124">
        <v>0</v>
      </c>
      <c r="FX124">
        <v>0</v>
      </c>
      <c r="FY124">
        <v>0</v>
      </c>
      <c r="GA124" t="s">
        <v>3</v>
      </c>
      <c r="GD124">
        <v>0</v>
      </c>
      <c r="GF124">
        <v>1691931615</v>
      </c>
      <c r="GG124">
        <v>2</v>
      </c>
      <c r="GH124">
        <v>1</v>
      </c>
      <c r="GI124">
        <v>2</v>
      </c>
      <c r="GJ124">
        <v>0</v>
      </c>
      <c r="GK124">
        <f>ROUND(R124*(R12)/100,2)</f>
        <v>0</v>
      </c>
      <c r="GL124">
        <f t="shared" si="143"/>
        <v>0</v>
      </c>
      <c r="GM124">
        <f t="shared" si="144"/>
        <v>6711.03</v>
      </c>
      <c r="GN124">
        <f t="shared" si="145"/>
        <v>0</v>
      </c>
      <c r="GO124">
        <f t="shared" si="146"/>
        <v>6711.03</v>
      </c>
      <c r="GP124">
        <f t="shared" si="147"/>
        <v>0</v>
      </c>
      <c r="GR124">
        <v>0</v>
      </c>
      <c r="GS124">
        <v>3</v>
      </c>
      <c r="GT124">
        <v>0</v>
      </c>
      <c r="GU124" t="s">
        <v>3</v>
      </c>
      <c r="GV124">
        <f t="shared" si="148"/>
        <v>0</v>
      </c>
      <c r="GW124">
        <v>1</v>
      </c>
      <c r="GX124">
        <f t="shared" si="149"/>
        <v>0</v>
      </c>
      <c r="HA124">
        <v>0</v>
      </c>
      <c r="HB124">
        <v>0</v>
      </c>
      <c r="HC124">
        <f t="shared" si="150"/>
        <v>0</v>
      </c>
      <c r="HE124" t="s">
        <v>3</v>
      </c>
      <c r="HF124" t="s">
        <v>3</v>
      </c>
      <c r="IK124">
        <v>0</v>
      </c>
    </row>
    <row r="125" spans="1:245" x14ac:dyDescent="0.2">
      <c r="A125">
        <v>17</v>
      </c>
      <c r="B125">
        <v>1</v>
      </c>
      <c r="E125" t="s">
        <v>220</v>
      </c>
      <c r="F125" t="s">
        <v>221</v>
      </c>
      <c r="G125" t="s">
        <v>222</v>
      </c>
      <c r="H125" t="s">
        <v>218</v>
      </c>
      <c r="I125">
        <f>ROUND(I39,9)</f>
        <v>3</v>
      </c>
      <c r="J125">
        <v>0</v>
      </c>
      <c r="O125">
        <f t="shared" si="115"/>
        <v>7057.03</v>
      </c>
      <c r="P125">
        <f t="shared" si="116"/>
        <v>7057.03</v>
      </c>
      <c r="Q125">
        <f t="shared" si="117"/>
        <v>0</v>
      </c>
      <c r="R125">
        <f t="shared" si="118"/>
        <v>0</v>
      </c>
      <c r="S125">
        <f t="shared" si="119"/>
        <v>0</v>
      </c>
      <c r="T125">
        <f t="shared" si="120"/>
        <v>0</v>
      </c>
      <c r="U125">
        <f t="shared" si="121"/>
        <v>0</v>
      </c>
      <c r="V125">
        <f t="shared" si="122"/>
        <v>0</v>
      </c>
      <c r="W125">
        <f t="shared" si="123"/>
        <v>0</v>
      </c>
      <c r="X125">
        <f t="shared" si="124"/>
        <v>0</v>
      </c>
      <c r="Y125">
        <f t="shared" si="124"/>
        <v>0</v>
      </c>
      <c r="AA125">
        <v>23680976</v>
      </c>
      <c r="AB125">
        <f t="shared" si="125"/>
        <v>813.96</v>
      </c>
      <c r="AC125">
        <f t="shared" si="126"/>
        <v>813.96</v>
      </c>
      <c r="AD125">
        <f t="shared" si="127"/>
        <v>0</v>
      </c>
      <c r="AE125">
        <f t="shared" si="128"/>
        <v>0</v>
      </c>
      <c r="AF125">
        <f t="shared" si="128"/>
        <v>0</v>
      </c>
      <c r="AG125">
        <f t="shared" si="129"/>
        <v>0</v>
      </c>
      <c r="AH125">
        <f t="shared" si="130"/>
        <v>0</v>
      </c>
      <c r="AI125">
        <f t="shared" si="130"/>
        <v>0</v>
      </c>
      <c r="AJ125">
        <f t="shared" si="131"/>
        <v>0</v>
      </c>
      <c r="AK125">
        <v>813.96</v>
      </c>
      <c r="AL125">
        <v>813.96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2.89</v>
      </c>
      <c r="BD125" t="s">
        <v>3</v>
      </c>
      <c r="BE125" t="s">
        <v>3</v>
      </c>
      <c r="BF125" t="s">
        <v>3</v>
      </c>
      <c r="BG125" t="s">
        <v>3</v>
      </c>
      <c r="BH125">
        <v>3</v>
      </c>
      <c r="BI125">
        <v>2</v>
      </c>
      <c r="BJ125" t="s">
        <v>223</v>
      </c>
      <c r="BM125">
        <v>1618</v>
      </c>
      <c r="BN125">
        <v>0</v>
      </c>
      <c r="BO125" t="s">
        <v>221</v>
      </c>
      <c r="BP125">
        <v>1</v>
      </c>
      <c r="BQ125">
        <v>201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0</v>
      </c>
      <c r="CA125">
        <v>0</v>
      </c>
      <c r="CE125">
        <v>30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32"/>
        <v>7057.03</v>
      </c>
      <c r="CQ125">
        <f t="shared" si="133"/>
        <v>2352.34</v>
      </c>
      <c r="CR125">
        <f t="shared" si="134"/>
        <v>0</v>
      </c>
      <c r="CS125">
        <f t="shared" si="135"/>
        <v>0</v>
      </c>
      <c r="CT125">
        <f t="shared" si="136"/>
        <v>0</v>
      </c>
      <c r="CU125">
        <f t="shared" si="137"/>
        <v>0</v>
      </c>
      <c r="CV125">
        <f t="shared" si="138"/>
        <v>0</v>
      </c>
      <c r="CW125">
        <f t="shared" si="139"/>
        <v>0</v>
      </c>
      <c r="CX125">
        <f t="shared" si="139"/>
        <v>0</v>
      </c>
      <c r="CY125">
        <f t="shared" si="140"/>
        <v>0</v>
      </c>
      <c r="CZ125">
        <f t="shared" si="141"/>
        <v>0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218</v>
      </c>
      <c r="DW125" t="s">
        <v>218</v>
      </c>
      <c r="DX125">
        <v>1</v>
      </c>
      <c r="DZ125" t="s">
        <v>3</v>
      </c>
      <c r="EA125" t="s">
        <v>3</v>
      </c>
      <c r="EB125" t="s">
        <v>3</v>
      </c>
      <c r="EC125" t="s">
        <v>3</v>
      </c>
      <c r="EE125">
        <v>22828459</v>
      </c>
      <c r="EF125">
        <v>201</v>
      </c>
      <c r="EG125" t="s">
        <v>204</v>
      </c>
      <c r="EH125">
        <v>0</v>
      </c>
      <c r="EI125" t="s">
        <v>3</v>
      </c>
      <c r="EJ125">
        <v>2</v>
      </c>
      <c r="EK125">
        <v>1618</v>
      </c>
      <c r="EL125" t="s">
        <v>205</v>
      </c>
      <c r="EM125" t="s">
        <v>206</v>
      </c>
      <c r="EO125" t="s">
        <v>3</v>
      </c>
      <c r="EQ125">
        <v>0</v>
      </c>
      <c r="ER125">
        <v>813.96</v>
      </c>
      <c r="ES125">
        <v>813.96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FQ125">
        <v>0</v>
      </c>
      <c r="FR125">
        <f t="shared" si="142"/>
        <v>0</v>
      </c>
      <c r="FS125">
        <v>0</v>
      </c>
      <c r="FX125">
        <v>0</v>
      </c>
      <c r="FY125">
        <v>0</v>
      </c>
      <c r="GA125" t="s">
        <v>3</v>
      </c>
      <c r="GD125">
        <v>0</v>
      </c>
      <c r="GF125">
        <v>360210185</v>
      </c>
      <c r="GG125">
        <v>2</v>
      </c>
      <c r="GH125">
        <v>1</v>
      </c>
      <c r="GI125">
        <v>2</v>
      </c>
      <c r="GJ125">
        <v>0</v>
      </c>
      <c r="GK125">
        <f>ROUND(R125*(R12)/100,2)</f>
        <v>0</v>
      </c>
      <c r="GL125">
        <f t="shared" si="143"/>
        <v>0</v>
      </c>
      <c r="GM125">
        <f t="shared" si="144"/>
        <v>7057.03</v>
      </c>
      <c r="GN125">
        <f t="shared" si="145"/>
        <v>0</v>
      </c>
      <c r="GO125">
        <f t="shared" si="146"/>
        <v>7057.03</v>
      </c>
      <c r="GP125">
        <f t="shared" si="147"/>
        <v>0</v>
      </c>
      <c r="GR125">
        <v>0</v>
      </c>
      <c r="GS125">
        <v>3</v>
      </c>
      <c r="GT125">
        <v>0</v>
      </c>
      <c r="GU125" t="s">
        <v>3</v>
      </c>
      <c r="GV125">
        <f t="shared" si="148"/>
        <v>0</v>
      </c>
      <c r="GW125">
        <v>1</v>
      </c>
      <c r="GX125">
        <f t="shared" si="149"/>
        <v>0</v>
      </c>
      <c r="HA125">
        <v>0</v>
      </c>
      <c r="HB125">
        <v>0</v>
      </c>
      <c r="HC125">
        <f t="shared" si="150"/>
        <v>0</v>
      </c>
      <c r="HE125" t="s">
        <v>3</v>
      </c>
      <c r="HF125" t="s">
        <v>3</v>
      </c>
      <c r="IK125">
        <v>0</v>
      </c>
    </row>
    <row r="126" spans="1:245" x14ac:dyDescent="0.2">
      <c r="A126">
        <v>17</v>
      </c>
      <c r="B126">
        <v>1</v>
      </c>
      <c r="E126" t="s">
        <v>224</v>
      </c>
      <c r="F126" t="s">
        <v>225</v>
      </c>
      <c r="G126" t="s">
        <v>226</v>
      </c>
      <c r="H126" t="s">
        <v>26</v>
      </c>
      <c r="I126">
        <f>ROUND(0.033,9)</f>
        <v>3.3000000000000002E-2</v>
      </c>
      <c r="J126">
        <v>0</v>
      </c>
      <c r="O126">
        <f t="shared" si="115"/>
        <v>6515.71</v>
      </c>
      <c r="P126">
        <f t="shared" si="116"/>
        <v>6515.71</v>
      </c>
      <c r="Q126">
        <f t="shared" si="117"/>
        <v>0</v>
      </c>
      <c r="R126">
        <f t="shared" si="118"/>
        <v>0</v>
      </c>
      <c r="S126">
        <f t="shared" si="119"/>
        <v>0</v>
      </c>
      <c r="T126">
        <f t="shared" si="120"/>
        <v>0</v>
      </c>
      <c r="U126">
        <f t="shared" si="121"/>
        <v>0</v>
      </c>
      <c r="V126">
        <f t="shared" si="122"/>
        <v>0</v>
      </c>
      <c r="W126">
        <f t="shared" si="123"/>
        <v>0</v>
      </c>
      <c r="X126">
        <f t="shared" si="124"/>
        <v>0</v>
      </c>
      <c r="Y126">
        <f t="shared" si="124"/>
        <v>0</v>
      </c>
      <c r="AA126">
        <v>23680976</v>
      </c>
      <c r="AB126">
        <f t="shared" si="125"/>
        <v>31290.95</v>
      </c>
      <c r="AC126">
        <f t="shared" si="126"/>
        <v>31290.95</v>
      </c>
      <c r="AD126">
        <f t="shared" si="127"/>
        <v>0</v>
      </c>
      <c r="AE126">
        <f t="shared" si="128"/>
        <v>0</v>
      </c>
      <c r="AF126">
        <f t="shared" si="128"/>
        <v>0</v>
      </c>
      <c r="AG126">
        <f t="shared" si="129"/>
        <v>0</v>
      </c>
      <c r="AH126">
        <f t="shared" si="130"/>
        <v>0</v>
      </c>
      <c r="AI126">
        <f t="shared" si="130"/>
        <v>0</v>
      </c>
      <c r="AJ126">
        <f t="shared" si="131"/>
        <v>0</v>
      </c>
      <c r="AK126">
        <v>31290.95</v>
      </c>
      <c r="AL126">
        <v>31290.95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6.31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2</v>
      </c>
      <c r="BJ126" t="s">
        <v>227</v>
      </c>
      <c r="BM126">
        <v>1618</v>
      </c>
      <c r="BN126">
        <v>0</v>
      </c>
      <c r="BO126" t="s">
        <v>225</v>
      </c>
      <c r="BP126">
        <v>1</v>
      </c>
      <c r="BQ126">
        <v>201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32"/>
        <v>6515.71</v>
      </c>
      <c r="CQ126">
        <f t="shared" si="133"/>
        <v>197445.89</v>
      </c>
      <c r="CR126">
        <f t="shared" si="134"/>
        <v>0</v>
      </c>
      <c r="CS126">
        <f t="shared" si="135"/>
        <v>0</v>
      </c>
      <c r="CT126">
        <f t="shared" si="136"/>
        <v>0</v>
      </c>
      <c r="CU126">
        <f t="shared" si="137"/>
        <v>0</v>
      </c>
      <c r="CV126">
        <f t="shared" si="138"/>
        <v>0</v>
      </c>
      <c r="CW126">
        <f t="shared" si="139"/>
        <v>0</v>
      </c>
      <c r="CX126">
        <f t="shared" si="139"/>
        <v>0</v>
      </c>
      <c r="CY126">
        <f t="shared" si="140"/>
        <v>0</v>
      </c>
      <c r="CZ126">
        <f t="shared" si="141"/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1009</v>
      </c>
      <c r="DV126" t="s">
        <v>26</v>
      </c>
      <c r="DW126" t="s">
        <v>26</v>
      </c>
      <c r="DX126">
        <v>1000</v>
      </c>
      <c r="DZ126" t="s">
        <v>3</v>
      </c>
      <c r="EA126" t="s">
        <v>3</v>
      </c>
      <c r="EB126" t="s">
        <v>3</v>
      </c>
      <c r="EC126" t="s">
        <v>3</v>
      </c>
      <c r="EE126">
        <v>22828459</v>
      </c>
      <c r="EF126">
        <v>201</v>
      </c>
      <c r="EG126" t="s">
        <v>204</v>
      </c>
      <c r="EH126">
        <v>0</v>
      </c>
      <c r="EI126" t="s">
        <v>3</v>
      </c>
      <c r="EJ126">
        <v>2</v>
      </c>
      <c r="EK126">
        <v>1618</v>
      </c>
      <c r="EL126" t="s">
        <v>205</v>
      </c>
      <c r="EM126" t="s">
        <v>206</v>
      </c>
      <c r="EO126" t="s">
        <v>3</v>
      </c>
      <c r="EQ126">
        <v>0</v>
      </c>
      <c r="ER126">
        <v>31290.95</v>
      </c>
      <c r="ES126">
        <v>31290.95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FQ126">
        <v>0</v>
      </c>
      <c r="FR126">
        <f t="shared" si="142"/>
        <v>0</v>
      </c>
      <c r="FS126">
        <v>0</v>
      </c>
      <c r="FX126">
        <v>0</v>
      </c>
      <c r="FY126">
        <v>0</v>
      </c>
      <c r="GA126" t="s">
        <v>3</v>
      </c>
      <c r="GD126">
        <v>0</v>
      </c>
      <c r="GF126">
        <v>-19701161</v>
      </c>
      <c r="GG126">
        <v>2</v>
      </c>
      <c r="GH126">
        <v>1</v>
      </c>
      <c r="GI126">
        <v>2</v>
      </c>
      <c r="GJ126">
        <v>0</v>
      </c>
      <c r="GK126">
        <f>ROUND(R126*(R12)/100,2)</f>
        <v>0</v>
      </c>
      <c r="GL126">
        <f t="shared" si="143"/>
        <v>0</v>
      </c>
      <c r="GM126">
        <f t="shared" si="144"/>
        <v>6515.71</v>
      </c>
      <c r="GN126">
        <f t="shared" si="145"/>
        <v>0</v>
      </c>
      <c r="GO126">
        <f t="shared" si="146"/>
        <v>6515.71</v>
      </c>
      <c r="GP126">
        <f t="shared" si="147"/>
        <v>0</v>
      </c>
      <c r="GR126">
        <v>0</v>
      </c>
      <c r="GS126">
        <v>3</v>
      </c>
      <c r="GT126">
        <v>0</v>
      </c>
      <c r="GU126" t="s">
        <v>3</v>
      </c>
      <c r="GV126">
        <f t="shared" si="148"/>
        <v>0</v>
      </c>
      <c r="GW126">
        <v>1</v>
      </c>
      <c r="GX126">
        <f t="shared" si="149"/>
        <v>0</v>
      </c>
      <c r="HA126">
        <v>0</v>
      </c>
      <c r="HB126">
        <v>0</v>
      </c>
      <c r="HC126">
        <f t="shared" si="150"/>
        <v>0</v>
      </c>
      <c r="HE126" t="s">
        <v>3</v>
      </c>
      <c r="HF126" t="s">
        <v>3</v>
      </c>
      <c r="IK126">
        <v>0</v>
      </c>
    </row>
    <row r="127" spans="1:245" x14ac:dyDescent="0.2">
      <c r="A127">
        <v>17</v>
      </c>
      <c r="B127">
        <v>1</v>
      </c>
      <c r="E127" t="s">
        <v>228</v>
      </c>
      <c r="F127" t="s">
        <v>229</v>
      </c>
      <c r="G127" t="s">
        <v>230</v>
      </c>
      <c r="H127" t="s">
        <v>231</v>
      </c>
      <c r="I127">
        <v>1</v>
      </c>
      <c r="J127">
        <v>0</v>
      </c>
      <c r="O127">
        <f t="shared" si="115"/>
        <v>1563409.86</v>
      </c>
      <c r="P127">
        <f t="shared" si="116"/>
        <v>1563409.86</v>
      </c>
      <c r="Q127">
        <f t="shared" si="117"/>
        <v>0</v>
      </c>
      <c r="R127">
        <f t="shared" si="118"/>
        <v>0</v>
      </c>
      <c r="S127">
        <f t="shared" si="119"/>
        <v>0</v>
      </c>
      <c r="T127">
        <f t="shared" si="120"/>
        <v>0</v>
      </c>
      <c r="U127">
        <f t="shared" si="121"/>
        <v>0</v>
      </c>
      <c r="V127">
        <f t="shared" si="122"/>
        <v>0</v>
      </c>
      <c r="W127">
        <f t="shared" si="123"/>
        <v>0</v>
      </c>
      <c r="X127">
        <f t="shared" si="124"/>
        <v>0</v>
      </c>
      <c r="Y127">
        <f t="shared" si="124"/>
        <v>0</v>
      </c>
      <c r="AA127">
        <v>23680976</v>
      </c>
      <c r="AB127">
        <f t="shared" si="125"/>
        <v>1563409.86</v>
      </c>
      <c r="AC127">
        <f t="shared" si="126"/>
        <v>1563409.86</v>
      </c>
      <c r="AD127">
        <f t="shared" si="127"/>
        <v>0</v>
      </c>
      <c r="AE127">
        <f t="shared" si="128"/>
        <v>0</v>
      </c>
      <c r="AF127">
        <f t="shared" si="128"/>
        <v>0</v>
      </c>
      <c r="AG127">
        <f t="shared" si="129"/>
        <v>0</v>
      </c>
      <c r="AH127">
        <f t="shared" si="130"/>
        <v>0</v>
      </c>
      <c r="AI127">
        <f t="shared" si="130"/>
        <v>0</v>
      </c>
      <c r="AJ127">
        <f t="shared" si="131"/>
        <v>0</v>
      </c>
      <c r="AK127">
        <v>1563409.86</v>
      </c>
      <c r="AL127">
        <v>1563409.86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1</v>
      </c>
      <c r="BD127" t="s">
        <v>3</v>
      </c>
      <c r="BE127" t="s">
        <v>3</v>
      </c>
      <c r="BF127" t="s">
        <v>3</v>
      </c>
      <c r="BG127" t="s">
        <v>3</v>
      </c>
      <c r="BH127">
        <v>3</v>
      </c>
      <c r="BI127">
        <v>4</v>
      </c>
      <c r="BJ127" t="s">
        <v>3</v>
      </c>
      <c r="BM127">
        <v>0</v>
      </c>
      <c r="BN127">
        <v>0</v>
      </c>
      <c r="BO127" t="s">
        <v>3</v>
      </c>
      <c r="BP127">
        <v>0</v>
      </c>
      <c r="BQ127">
        <v>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3</v>
      </c>
      <c r="BZ127">
        <v>0</v>
      </c>
      <c r="CA127">
        <v>0</v>
      </c>
      <c r="CE127">
        <v>30</v>
      </c>
      <c r="CF127">
        <v>0</v>
      </c>
      <c r="CG127">
        <v>0</v>
      </c>
      <c r="CM127">
        <v>0</v>
      </c>
      <c r="CN127" t="s">
        <v>3</v>
      </c>
      <c r="CO127">
        <v>0</v>
      </c>
      <c r="CP127">
        <f t="shared" si="132"/>
        <v>1563409.86</v>
      </c>
      <c r="CQ127">
        <f t="shared" si="133"/>
        <v>1563409.86</v>
      </c>
      <c r="CR127">
        <f t="shared" si="134"/>
        <v>0</v>
      </c>
      <c r="CS127">
        <f t="shared" si="135"/>
        <v>0</v>
      </c>
      <c r="CT127">
        <f t="shared" si="136"/>
        <v>0</v>
      </c>
      <c r="CU127">
        <f t="shared" si="137"/>
        <v>0</v>
      </c>
      <c r="CV127">
        <f t="shared" si="138"/>
        <v>0</v>
      </c>
      <c r="CW127">
        <f t="shared" si="139"/>
        <v>0</v>
      </c>
      <c r="CX127">
        <f t="shared" si="139"/>
        <v>0</v>
      </c>
      <c r="CY127">
        <f t="shared" si="140"/>
        <v>0</v>
      </c>
      <c r="CZ127">
        <f t="shared" si="141"/>
        <v>0</v>
      </c>
      <c r="DC127" t="s">
        <v>3</v>
      </c>
      <c r="DD127" t="s">
        <v>3</v>
      </c>
      <c r="DE127" t="s">
        <v>3</v>
      </c>
      <c r="DF127" t="s">
        <v>3</v>
      </c>
      <c r="DG127" t="s">
        <v>3</v>
      </c>
      <c r="DH127" t="s">
        <v>3</v>
      </c>
      <c r="DI127" t="s">
        <v>3</v>
      </c>
      <c r="DJ127" t="s">
        <v>3</v>
      </c>
      <c r="DK127" t="s">
        <v>3</v>
      </c>
      <c r="DL127" t="s">
        <v>3</v>
      </c>
      <c r="DM127" t="s">
        <v>3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231</v>
      </c>
      <c r="DW127" t="s">
        <v>231</v>
      </c>
      <c r="DX127">
        <v>1</v>
      </c>
      <c r="DZ127" t="s">
        <v>3</v>
      </c>
      <c r="EA127" t="s">
        <v>3</v>
      </c>
      <c r="EB127" t="s">
        <v>3</v>
      </c>
      <c r="EC127" t="s">
        <v>3</v>
      </c>
      <c r="EE127">
        <v>22826841</v>
      </c>
      <c r="EF127">
        <v>0</v>
      </c>
      <c r="EG127" t="s">
        <v>3</v>
      </c>
      <c r="EH127">
        <v>0</v>
      </c>
      <c r="EI127" t="s">
        <v>3</v>
      </c>
      <c r="EJ127">
        <v>4</v>
      </c>
      <c r="EK127">
        <v>0</v>
      </c>
      <c r="EL127" t="s">
        <v>232</v>
      </c>
      <c r="EM127" t="s">
        <v>233</v>
      </c>
      <c r="EO127" t="s">
        <v>3</v>
      </c>
      <c r="EQ127">
        <v>0</v>
      </c>
      <c r="ER127">
        <v>1563409.86</v>
      </c>
      <c r="ES127">
        <v>1563409.86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5</v>
      </c>
      <c r="FC127">
        <v>0</v>
      </c>
      <c r="FD127">
        <v>18</v>
      </c>
      <c r="FF127">
        <v>1563409.86</v>
      </c>
      <c r="FQ127">
        <v>0</v>
      </c>
      <c r="FR127">
        <f t="shared" si="142"/>
        <v>0</v>
      </c>
      <c r="FS127">
        <v>0</v>
      </c>
      <c r="FX127">
        <v>0</v>
      </c>
      <c r="FY127">
        <v>0</v>
      </c>
      <c r="GA127" t="s">
        <v>3</v>
      </c>
      <c r="GD127">
        <v>0</v>
      </c>
      <c r="GF127">
        <v>122340229</v>
      </c>
      <c r="GG127">
        <v>2</v>
      </c>
      <c r="GH127">
        <v>3</v>
      </c>
      <c r="GI127">
        <v>-2</v>
      </c>
      <c r="GJ127">
        <v>0</v>
      </c>
      <c r="GK127">
        <f>ROUND(R127*(R12)/100,2)</f>
        <v>0</v>
      </c>
      <c r="GL127">
        <f t="shared" si="143"/>
        <v>0</v>
      </c>
      <c r="GM127">
        <f t="shared" si="144"/>
        <v>1563409.86</v>
      </c>
      <c r="GN127">
        <f t="shared" si="145"/>
        <v>0</v>
      </c>
      <c r="GO127">
        <f t="shared" si="146"/>
        <v>0</v>
      </c>
      <c r="GP127">
        <f t="shared" si="147"/>
        <v>1563409.86</v>
      </c>
      <c r="GR127">
        <v>1</v>
      </c>
      <c r="GS127">
        <v>1</v>
      </c>
      <c r="GT127">
        <v>0</v>
      </c>
      <c r="GU127" t="s">
        <v>3</v>
      </c>
      <c r="GV127">
        <f t="shared" si="148"/>
        <v>0</v>
      </c>
      <c r="GW127">
        <v>1</v>
      </c>
      <c r="GX127">
        <f t="shared" si="149"/>
        <v>0</v>
      </c>
      <c r="HA127">
        <v>0</v>
      </c>
      <c r="HB127">
        <v>0</v>
      </c>
      <c r="HC127">
        <f t="shared" si="150"/>
        <v>0</v>
      </c>
      <c r="HE127" t="s">
        <v>3</v>
      </c>
      <c r="HF127" t="s">
        <v>3</v>
      </c>
      <c r="IK127">
        <v>0</v>
      </c>
    </row>
    <row r="129" spans="1:206" x14ac:dyDescent="0.2">
      <c r="A129" s="2">
        <v>51</v>
      </c>
      <c r="B129" s="2">
        <f>B117</f>
        <v>1</v>
      </c>
      <c r="C129" s="2">
        <f>A117</f>
        <v>4</v>
      </c>
      <c r="D129" s="2">
        <f>ROW(A117)</f>
        <v>117</v>
      </c>
      <c r="E129" s="2"/>
      <c r="F129" s="2" t="str">
        <f>IF(F117&lt;&gt;"",F117,"")</f>
        <v>Новый раздел</v>
      </c>
      <c r="G129" s="2" t="str">
        <f>IF(G117&lt;&gt;"",G117,"")</f>
        <v>Материалы, не учтенные ценником и оборудование.</v>
      </c>
      <c r="H129" s="2">
        <v>0</v>
      </c>
      <c r="I129" s="2"/>
      <c r="J129" s="2"/>
      <c r="K129" s="2"/>
      <c r="L129" s="2"/>
      <c r="M129" s="2"/>
      <c r="N129" s="2"/>
      <c r="O129" s="2">
        <f t="shared" ref="O129:T129" si="151">ROUND(AB129,2)</f>
        <v>1629538.04</v>
      </c>
      <c r="P129" s="2">
        <f t="shared" si="151"/>
        <v>1629538.04</v>
      </c>
      <c r="Q129" s="2">
        <f t="shared" si="151"/>
        <v>0</v>
      </c>
      <c r="R129" s="2">
        <f t="shared" si="151"/>
        <v>0</v>
      </c>
      <c r="S129" s="2">
        <f t="shared" si="151"/>
        <v>0</v>
      </c>
      <c r="T129" s="2">
        <f t="shared" si="151"/>
        <v>0</v>
      </c>
      <c r="U129" s="2">
        <f>AH129</f>
        <v>0</v>
      </c>
      <c r="V129" s="2">
        <f>AI129</f>
        <v>0</v>
      </c>
      <c r="W129" s="2">
        <f>ROUND(AJ129,2)</f>
        <v>0</v>
      </c>
      <c r="X129" s="2">
        <f>ROUND(AK129,2)</f>
        <v>0</v>
      </c>
      <c r="Y129" s="2">
        <f>ROUND(AL129,2)</f>
        <v>0</v>
      </c>
      <c r="Z129" s="2"/>
      <c r="AA129" s="2"/>
      <c r="AB129" s="2">
        <f>ROUND(SUMIF(AA121:AA127,"=23680976",O121:O127),2)</f>
        <v>1629538.04</v>
      </c>
      <c r="AC129" s="2">
        <f>ROUND(SUMIF(AA121:AA127,"=23680976",P121:P127),2)</f>
        <v>1629538.04</v>
      </c>
      <c r="AD129" s="2">
        <f>ROUND(SUMIF(AA121:AA127,"=23680976",Q121:Q127),2)</f>
        <v>0</v>
      </c>
      <c r="AE129" s="2">
        <f>ROUND(SUMIF(AA121:AA127,"=23680976",R121:R127),2)</f>
        <v>0</v>
      </c>
      <c r="AF129" s="2">
        <f>ROUND(SUMIF(AA121:AA127,"=23680976",S121:S127),2)</f>
        <v>0</v>
      </c>
      <c r="AG129" s="2">
        <f>ROUND(SUMIF(AA121:AA127,"=23680976",T121:T127),2)</f>
        <v>0</v>
      </c>
      <c r="AH129" s="2">
        <f>SUMIF(AA121:AA127,"=23680976",U121:U127)</f>
        <v>0</v>
      </c>
      <c r="AI129" s="2">
        <f>SUMIF(AA121:AA127,"=23680976",V121:V127)</f>
        <v>0</v>
      </c>
      <c r="AJ129" s="2">
        <f>ROUND(SUMIF(AA121:AA127,"=23680976",W121:W127),2)</f>
        <v>0</v>
      </c>
      <c r="AK129" s="2">
        <f>ROUND(SUMIF(AA121:AA127,"=23680976",X121:X127),2)</f>
        <v>0</v>
      </c>
      <c r="AL129" s="2">
        <f>ROUND(SUMIF(AA121:AA127,"=23680976",Y121:Y127),2)</f>
        <v>0</v>
      </c>
      <c r="AM129" s="2"/>
      <c r="AN129" s="2"/>
      <c r="AO129" s="2">
        <f t="shared" ref="AO129:BD129" si="152">ROUND(BX129,2)</f>
        <v>0</v>
      </c>
      <c r="AP129" s="2">
        <f t="shared" si="152"/>
        <v>0</v>
      </c>
      <c r="AQ129" s="2">
        <f t="shared" si="152"/>
        <v>0</v>
      </c>
      <c r="AR129" s="2">
        <f t="shared" si="152"/>
        <v>1629538.04</v>
      </c>
      <c r="AS129" s="2">
        <f t="shared" si="152"/>
        <v>0</v>
      </c>
      <c r="AT129" s="2">
        <f t="shared" si="152"/>
        <v>66128.179999999993</v>
      </c>
      <c r="AU129" s="2">
        <f t="shared" si="152"/>
        <v>1563409.86</v>
      </c>
      <c r="AV129" s="2">
        <f t="shared" si="152"/>
        <v>1629538.04</v>
      </c>
      <c r="AW129" s="2">
        <f t="shared" si="152"/>
        <v>1629538.04</v>
      </c>
      <c r="AX129" s="2">
        <f t="shared" si="152"/>
        <v>0</v>
      </c>
      <c r="AY129" s="2">
        <f t="shared" si="152"/>
        <v>1629538.04</v>
      </c>
      <c r="AZ129" s="2">
        <f t="shared" si="152"/>
        <v>0</v>
      </c>
      <c r="BA129" s="2">
        <f t="shared" si="152"/>
        <v>0</v>
      </c>
      <c r="BB129" s="2">
        <f t="shared" si="152"/>
        <v>0</v>
      </c>
      <c r="BC129" s="2">
        <f t="shared" si="152"/>
        <v>0</v>
      </c>
      <c r="BD129" s="2">
        <f t="shared" si="152"/>
        <v>0</v>
      </c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>
        <f>ROUND(SUMIF(AA121:AA127,"=23680976",FQ121:FQ127),2)</f>
        <v>0</v>
      </c>
      <c r="BY129" s="2">
        <f>ROUND(SUMIF(AA121:AA127,"=23680976",FR121:FR127),2)</f>
        <v>0</v>
      </c>
      <c r="BZ129" s="2">
        <f>ROUND(SUMIF(AA121:AA127,"=23680976",GL121:GL127),2)</f>
        <v>0</v>
      </c>
      <c r="CA129" s="2">
        <f>ROUND(SUMIF(AA121:AA127,"=23680976",GM121:GM127),2)</f>
        <v>1629538.04</v>
      </c>
      <c r="CB129" s="2">
        <f>ROUND(SUMIF(AA121:AA127,"=23680976",GN121:GN127),2)</f>
        <v>0</v>
      </c>
      <c r="CC129" s="2">
        <f>ROUND(SUMIF(AA121:AA127,"=23680976",GO121:GO127),2)</f>
        <v>66128.179999999993</v>
      </c>
      <c r="CD129" s="2">
        <f>ROUND(SUMIF(AA121:AA127,"=23680976",GP121:GP127),2)</f>
        <v>1563409.86</v>
      </c>
      <c r="CE129" s="2">
        <f>AC129-BX129</f>
        <v>1629538.04</v>
      </c>
      <c r="CF129" s="2">
        <f>AC129-BY129</f>
        <v>1629538.04</v>
      </c>
      <c r="CG129" s="2">
        <f>BX129-BZ129</f>
        <v>0</v>
      </c>
      <c r="CH129" s="2">
        <f>AC129-BX129-BY129+BZ129</f>
        <v>1629538.04</v>
      </c>
      <c r="CI129" s="2">
        <f>BY129-BZ129</f>
        <v>0</v>
      </c>
      <c r="CJ129" s="2">
        <f>ROUND(SUMIF(AA121:AA127,"=23680976",GX121:GX127),2)</f>
        <v>0</v>
      </c>
      <c r="CK129" s="2">
        <f>ROUND(SUMIF(AA121:AA127,"=23680976",GY121:GY127),2)</f>
        <v>0</v>
      </c>
      <c r="CL129" s="2">
        <f>ROUND(SUMIF(AA121:AA127,"=23680976",GZ121:GZ127),2)</f>
        <v>0</v>
      </c>
      <c r="CM129" s="2">
        <f>ROUND(SUMIF(AA121:AA127,"=23680976",HD121:HD127),2)</f>
        <v>0</v>
      </c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>
        <v>0</v>
      </c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201</v>
      </c>
      <c r="F131" s="4">
        <f>ROUND(Source!O129,O131)</f>
        <v>1629538.04</v>
      </c>
      <c r="G131" s="4" t="s">
        <v>87</v>
      </c>
      <c r="H131" s="4" t="s">
        <v>88</v>
      </c>
      <c r="I131" s="4"/>
      <c r="J131" s="4"/>
      <c r="K131" s="4">
        <v>201</v>
      </c>
      <c r="L131" s="4">
        <v>1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202</v>
      </c>
      <c r="F132" s="4">
        <f>ROUND(Source!P129,O132)</f>
        <v>1629538.04</v>
      </c>
      <c r="G132" s="4" t="s">
        <v>89</v>
      </c>
      <c r="H132" s="4" t="s">
        <v>90</v>
      </c>
      <c r="I132" s="4"/>
      <c r="J132" s="4"/>
      <c r="K132" s="4">
        <v>202</v>
      </c>
      <c r="L132" s="4">
        <v>2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222</v>
      </c>
      <c r="F133" s="4">
        <f>ROUND(Source!AO129,O133)</f>
        <v>0</v>
      </c>
      <c r="G133" s="4" t="s">
        <v>91</v>
      </c>
      <c r="H133" s="4" t="s">
        <v>92</v>
      </c>
      <c r="I133" s="4"/>
      <c r="J133" s="4"/>
      <c r="K133" s="4">
        <v>222</v>
      </c>
      <c r="L133" s="4">
        <v>3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225</v>
      </c>
      <c r="F134" s="4">
        <f>ROUND(Source!AV129,O134)</f>
        <v>1629538.04</v>
      </c>
      <c r="G134" s="4" t="s">
        <v>93</v>
      </c>
      <c r="H134" s="4" t="s">
        <v>94</v>
      </c>
      <c r="I134" s="4"/>
      <c r="J134" s="4"/>
      <c r="K134" s="4">
        <v>225</v>
      </c>
      <c r="L134" s="4">
        <v>4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226</v>
      </c>
      <c r="F135" s="4">
        <f>ROUND(Source!AW129,O135)</f>
        <v>1629538.04</v>
      </c>
      <c r="G135" s="4" t="s">
        <v>95</v>
      </c>
      <c r="H135" s="4" t="s">
        <v>96</v>
      </c>
      <c r="I135" s="4"/>
      <c r="J135" s="4"/>
      <c r="K135" s="4">
        <v>226</v>
      </c>
      <c r="L135" s="4">
        <v>5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227</v>
      </c>
      <c r="F136" s="4">
        <f>ROUND(Source!AX129,O136)</f>
        <v>0</v>
      </c>
      <c r="G136" s="4" t="s">
        <v>97</v>
      </c>
      <c r="H136" s="4" t="s">
        <v>98</v>
      </c>
      <c r="I136" s="4"/>
      <c r="J136" s="4"/>
      <c r="K136" s="4">
        <v>227</v>
      </c>
      <c r="L136" s="4">
        <v>6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228</v>
      </c>
      <c r="F137" s="4">
        <f>ROUND(Source!AY129,O137)</f>
        <v>1629538.04</v>
      </c>
      <c r="G137" s="4" t="s">
        <v>99</v>
      </c>
      <c r="H137" s="4" t="s">
        <v>100</v>
      </c>
      <c r="I137" s="4"/>
      <c r="J137" s="4"/>
      <c r="K137" s="4">
        <v>228</v>
      </c>
      <c r="L137" s="4">
        <v>7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216</v>
      </c>
      <c r="F138" s="4">
        <f>ROUND(Source!AP129,O138)</f>
        <v>0</v>
      </c>
      <c r="G138" s="4" t="s">
        <v>101</v>
      </c>
      <c r="H138" s="4" t="s">
        <v>102</v>
      </c>
      <c r="I138" s="4"/>
      <c r="J138" s="4"/>
      <c r="K138" s="4">
        <v>216</v>
      </c>
      <c r="L138" s="4">
        <v>8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223</v>
      </c>
      <c r="F139" s="4">
        <f>ROUND(Source!AQ129,O139)</f>
        <v>0</v>
      </c>
      <c r="G139" s="4" t="s">
        <v>103</v>
      </c>
      <c r="H139" s="4" t="s">
        <v>104</v>
      </c>
      <c r="I139" s="4"/>
      <c r="J139" s="4"/>
      <c r="K139" s="4">
        <v>223</v>
      </c>
      <c r="L139" s="4">
        <v>9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229</v>
      </c>
      <c r="F140" s="4">
        <f>ROUND(Source!AZ129,O140)</f>
        <v>0</v>
      </c>
      <c r="G140" s="4" t="s">
        <v>105</v>
      </c>
      <c r="H140" s="4" t="s">
        <v>106</v>
      </c>
      <c r="I140" s="4"/>
      <c r="J140" s="4"/>
      <c r="K140" s="4">
        <v>229</v>
      </c>
      <c r="L140" s="4">
        <v>10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203</v>
      </c>
      <c r="F141" s="4">
        <f>ROUND(Source!Q129,O141)</f>
        <v>0</v>
      </c>
      <c r="G141" s="4" t="s">
        <v>107</v>
      </c>
      <c r="H141" s="4" t="s">
        <v>108</v>
      </c>
      <c r="I141" s="4"/>
      <c r="J141" s="4"/>
      <c r="K141" s="4">
        <v>203</v>
      </c>
      <c r="L141" s="4">
        <v>11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231</v>
      </c>
      <c r="F142" s="4">
        <f>ROUND(Source!BB129,O142)</f>
        <v>0</v>
      </c>
      <c r="G142" s="4" t="s">
        <v>109</v>
      </c>
      <c r="H142" s="4" t="s">
        <v>110</v>
      </c>
      <c r="I142" s="4"/>
      <c r="J142" s="4"/>
      <c r="K142" s="4">
        <v>231</v>
      </c>
      <c r="L142" s="4">
        <v>12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06" x14ac:dyDescent="0.2">
      <c r="A143" s="4">
        <v>50</v>
      </c>
      <c r="B143" s="4">
        <v>0</v>
      </c>
      <c r="C143" s="4">
        <v>0</v>
      </c>
      <c r="D143" s="4">
        <v>1</v>
      </c>
      <c r="E143" s="4">
        <v>204</v>
      </c>
      <c r="F143" s="4">
        <f>ROUND(Source!R129,O143)</f>
        <v>0</v>
      </c>
      <c r="G143" s="4" t="s">
        <v>111</v>
      </c>
      <c r="H143" s="4" t="s">
        <v>112</v>
      </c>
      <c r="I143" s="4"/>
      <c r="J143" s="4"/>
      <c r="K143" s="4">
        <v>204</v>
      </c>
      <c r="L143" s="4">
        <v>13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06" x14ac:dyDescent="0.2">
      <c r="A144" s="4">
        <v>50</v>
      </c>
      <c r="B144" s="4">
        <v>0</v>
      </c>
      <c r="C144" s="4">
        <v>0</v>
      </c>
      <c r="D144" s="4">
        <v>1</v>
      </c>
      <c r="E144" s="4">
        <v>205</v>
      </c>
      <c r="F144" s="4">
        <f>ROUND(Source!S129,O144)</f>
        <v>0</v>
      </c>
      <c r="G144" s="4" t="s">
        <v>113</v>
      </c>
      <c r="H144" s="4" t="s">
        <v>114</v>
      </c>
      <c r="I144" s="4"/>
      <c r="J144" s="4"/>
      <c r="K144" s="4">
        <v>205</v>
      </c>
      <c r="L144" s="4">
        <v>14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232</v>
      </c>
      <c r="F145" s="4">
        <f>ROUND(Source!BC129,O145)</f>
        <v>0</v>
      </c>
      <c r="G145" s="4" t="s">
        <v>115</v>
      </c>
      <c r="H145" s="4" t="s">
        <v>116</v>
      </c>
      <c r="I145" s="4"/>
      <c r="J145" s="4"/>
      <c r="K145" s="4">
        <v>232</v>
      </c>
      <c r="L145" s="4">
        <v>15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214</v>
      </c>
      <c r="F146" s="4">
        <f>ROUND(Source!AS129,O146)</f>
        <v>0</v>
      </c>
      <c r="G146" s="4" t="s">
        <v>117</v>
      </c>
      <c r="H146" s="4" t="s">
        <v>118</v>
      </c>
      <c r="I146" s="4"/>
      <c r="J146" s="4"/>
      <c r="K146" s="4">
        <v>214</v>
      </c>
      <c r="L146" s="4">
        <v>16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215</v>
      </c>
      <c r="F147" s="4">
        <f>ROUND(Source!AT129,O147)</f>
        <v>66128.179999999993</v>
      </c>
      <c r="G147" s="4" t="s">
        <v>119</v>
      </c>
      <c r="H147" s="4" t="s">
        <v>120</v>
      </c>
      <c r="I147" s="4"/>
      <c r="J147" s="4"/>
      <c r="K147" s="4">
        <v>215</v>
      </c>
      <c r="L147" s="4">
        <v>17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217</v>
      </c>
      <c r="F148" s="4">
        <f>ROUND(Source!AU129,O148)</f>
        <v>1563409.86</v>
      </c>
      <c r="G148" s="4" t="s">
        <v>121</v>
      </c>
      <c r="H148" s="4" t="s">
        <v>122</v>
      </c>
      <c r="I148" s="4"/>
      <c r="J148" s="4"/>
      <c r="K148" s="4">
        <v>217</v>
      </c>
      <c r="L148" s="4">
        <v>18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230</v>
      </c>
      <c r="F149" s="4">
        <f>ROUND(Source!BA129,O149)</f>
        <v>0</v>
      </c>
      <c r="G149" s="4" t="s">
        <v>123</v>
      </c>
      <c r="H149" s="4" t="s">
        <v>124</v>
      </c>
      <c r="I149" s="4"/>
      <c r="J149" s="4"/>
      <c r="K149" s="4">
        <v>230</v>
      </c>
      <c r="L149" s="4">
        <v>19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206</v>
      </c>
      <c r="F150" s="4">
        <f>ROUND(Source!T129,O150)</f>
        <v>0</v>
      </c>
      <c r="G150" s="4" t="s">
        <v>125</v>
      </c>
      <c r="H150" s="4" t="s">
        <v>126</v>
      </c>
      <c r="I150" s="4"/>
      <c r="J150" s="4"/>
      <c r="K150" s="4">
        <v>206</v>
      </c>
      <c r="L150" s="4">
        <v>20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207</v>
      </c>
      <c r="F151" s="4">
        <f>Source!U129</f>
        <v>0</v>
      </c>
      <c r="G151" s="4" t="s">
        <v>127</v>
      </c>
      <c r="H151" s="4" t="s">
        <v>128</v>
      </c>
      <c r="I151" s="4"/>
      <c r="J151" s="4"/>
      <c r="K151" s="4">
        <v>207</v>
      </c>
      <c r="L151" s="4">
        <v>21</v>
      </c>
      <c r="M151" s="4">
        <v>3</v>
      </c>
      <c r="N151" s="4" t="s">
        <v>3</v>
      </c>
      <c r="O151" s="4">
        <v>-1</v>
      </c>
      <c r="P151" s="4"/>
      <c r="Q151" s="4"/>
      <c r="R151" s="4"/>
      <c r="S151" s="4"/>
      <c r="T151" s="4"/>
      <c r="U151" s="4"/>
      <c r="V151" s="4"/>
      <c r="W151" s="4"/>
    </row>
    <row r="152" spans="1:206" x14ac:dyDescent="0.2">
      <c r="A152" s="4">
        <v>50</v>
      </c>
      <c r="B152" s="4">
        <v>0</v>
      </c>
      <c r="C152" s="4">
        <v>0</v>
      </c>
      <c r="D152" s="4">
        <v>1</v>
      </c>
      <c r="E152" s="4">
        <v>208</v>
      </c>
      <c r="F152" s="4">
        <f>Source!V129</f>
        <v>0</v>
      </c>
      <c r="G152" s="4" t="s">
        <v>129</v>
      </c>
      <c r="H152" s="4" t="s">
        <v>130</v>
      </c>
      <c r="I152" s="4"/>
      <c r="J152" s="4"/>
      <c r="K152" s="4">
        <v>208</v>
      </c>
      <c r="L152" s="4">
        <v>22</v>
      </c>
      <c r="M152" s="4">
        <v>3</v>
      </c>
      <c r="N152" s="4" t="s">
        <v>3</v>
      </c>
      <c r="O152" s="4">
        <v>-1</v>
      </c>
      <c r="P152" s="4"/>
      <c r="Q152" s="4"/>
      <c r="R152" s="4"/>
      <c r="S152" s="4"/>
      <c r="T152" s="4"/>
      <c r="U152" s="4"/>
      <c r="V152" s="4"/>
      <c r="W152" s="4"/>
    </row>
    <row r="153" spans="1:206" x14ac:dyDescent="0.2">
      <c r="A153" s="4">
        <v>50</v>
      </c>
      <c r="B153" s="4">
        <v>0</v>
      </c>
      <c r="C153" s="4">
        <v>0</v>
      </c>
      <c r="D153" s="4">
        <v>1</v>
      </c>
      <c r="E153" s="4">
        <v>209</v>
      </c>
      <c r="F153" s="4">
        <f>ROUND(Source!W129,O153)</f>
        <v>0</v>
      </c>
      <c r="G153" s="4" t="s">
        <v>131</v>
      </c>
      <c r="H153" s="4" t="s">
        <v>132</v>
      </c>
      <c r="I153" s="4"/>
      <c r="J153" s="4"/>
      <c r="K153" s="4">
        <v>209</v>
      </c>
      <c r="L153" s="4">
        <v>23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06" x14ac:dyDescent="0.2">
      <c r="A154" s="4">
        <v>50</v>
      </c>
      <c r="B154" s="4">
        <v>0</v>
      </c>
      <c r="C154" s="4">
        <v>0</v>
      </c>
      <c r="D154" s="4">
        <v>1</v>
      </c>
      <c r="E154" s="4">
        <v>233</v>
      </c>
      <c r="F154" s="4">
        <f>ROUND(Source!BD129,O154)</f>
        <v>0</v>
      </c>
      <c r="G154" s="4" t="s">
        <v>133</v>
      </c>
      <c r="H154" s="4" t="s">
        <v>134</v>
      </c>
      <c r="I154" s="4"/>
      <c r="J154" s="4"/>
      <c r="K154" s="4">
        <v>233</v>
      </c>
      <c r="L154" s="4">
        <v>24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210</v>
      </c>
      <c r="F155" s="4">
        <f>ROUND(Source!X129,O155)</f>
        <v>0</v>
      </c>
      <c r="G155" s="4" t="s">
        <v>135</v>
      </c>
      <c r="H155" s="4" t="s">
        <v>136</v>
      </c>
      <c r="I155" s="4"/>
      <c r="J155" s="4"/>
      <c r="K155" s="4">
        <v>210</v>
      </c>
      <c r="L155" s="4">
        <v>25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211</v>
      </c>
      <c r="F156" s="4">
        <f>ROUND(Source!Y129,O156)</f>
        <v>0</v>
      </c>
      <c r="G156" s="4" t="s">
        <v>137</v>
      </c>
      <c r="H156" s="4" t="s">
        <v>138</v>
      </c>
      <c r="I156" s="4"/>
      <c r="J156" s="4"/>
      <c r="K156" s="4">
        <v>211</v>
      </c>
      <c r="L156" s="4">
        <v>26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 x14ac:dyDescent="0.2">
      <c r="A157" s="4">
        <v>50</v>
      </c>
      <c r="B157" s="4">
        <v>0</v>
      </c>
      <c r="C157" s="4">
        <v>0</v>
      </c>
      <c r="D157" s="4">
        <v>1</v>
      </c>
      <c r="E157" s="4">
        <v>224</v>
      </c>
      <c r="F157" s="4">
        <f>ROUND(Source!AR129,O157)</f>
        <v>1629538.04</v>
      </c>
      <c r="G157" s="4" t="s">
        <v>139</v>
      </c>
      <c r="H157" s="4" t="s">
        <v>140</v>
      </c>
      <c r="I157" s="4"/>
      <c r="J157" s="4"/>
      <c r="K157" s="4">
        <v>224</v>
      </c>
      <c r="L157" s="4">
        <v>27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9" spans="1:206" x14ac:dyDescent="0.2">
      <c r="A159" s="2">
        <v>51</v>
      </c>
      <c r="B159" s="2">
        <f>B20</f>
        <v>1</v>
      </c>
      <c r="C159" s="2">
        <f>A20</f>
        <v>3</v>
      </c>
      <c r="D159" s="2">
        <f>ROW(A20)</f>
        <v>20</v>
      </c>
      <c r="E159" s="2"/>
      <c r="F159" s="2" t="str">
        <f>IF(F20&lt;&gt;"",F20,"")</f>
        <v>Новая локальная смета</v>
      </c>
      <c r="G159" s="2" t="str">
        <f>IF(G20&lt;&gt;"",G20,"")</f>
        <v>ТП-522. Реконструкция. Замена 8 панелей в РУ-0,4 кВ.</v>
      </c>
      <c r="H159" s="2">
        <v>0</v>
      </c>
      <c r="I159" s="2"/>
      <c r="J159" s="2"/>
      <c r="K159" s="2"/>
      <c r="L159" s="2"/>
      <c r="M159" s="2"/>
      <c r="N159" s="2"/>
      <c r="O159" s="2">
        <f t="shared" ref="O159:T159" si="153">ROUND(O41+O87+O129+AB159,2)</f>
        <v>1784259.89</v>
      </c>
      <c r="P159" s="2">
        <f t="shared" si="153"/>
        <v>1646916.55</v>
      </c>
      <c r="Q159" s="2">
        <f t="shared" si="153"/>
        <v>22950.48</v>
      </c>
      <c r="R159" s="2">
        <f t="shared" si="153"/>
        <v>12245.02</v>
      </c>
      <c r="S159" s="2">
        <f t="shared" si="153"/>
        <v>114392.86</v>
      </c>
      <c r="T159" s="2">
        <f t="shared" si="153"/>
        <v>0</v>
      </c>
      <c r="U159" s="2">
        <f>U41+U87+U129+AH159</f>
        <v>354.98715720000001</v>
      </c>
      <c r="V159" s="2">
        <f>V41+V87+V129+AI159</f>
        <v>0</v>
      </c>
      <c r="W159" s="2">
        <f>ROUND(W41+W87+W129+AJ159,2)</f>
        <v>0</v>
      </c>
      <c r="X159" s="2">
        <f>ROUND(X41+X87+X129+AK159,2)</f>
        <v>83250.720000000001</v>
      </c>
      <c r="Y159" s="2">
        <f>ROUND(Y41+Y87+Y129+AL159,2)</f>
        <v>46901.08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>
        <f t="shared" ref="AO159:BD159" si="154">ROUND(AO41+AO87+AO129+BX159,2)</f>
        <v>0</v>
      </c>
      <c r="AP159" s="2">
        <f t="shared" si="154"/>
        <v>0</v>
      </c>
      <c r="AQ159" s="2">
        <f t="shared" si="154"/>
        <v>0</v>
      </c>
      <c r="AR159" s="2">
        <f t="shared" si="154"/>
        <v>1933636.37</v>
      </c>
      <c r="AS159" s="2">
        <f t="shared" si="154"/>
        <v>0</v>
      </c>
      <c r="AT159" s="2">
        <f t="shared" si="154"/>
        <v>258021.84</v>
      </c>
      <c r="AU159" s="2">
        <f t="shared" si="154"/>
        <v>1675614.53</v>
      </c>
      <c r="AV159" s="2">
        <f t="shared" si="154"/>
        <v>1646916.55</v>
      </c>
      <c r="AW159" s="2">
        <f t="shared" si="154"/>
        <v>1646916.55</v>
      </c>
      <c r="AX159" s="2">
        <f t="shared" si="154"/>
        <v>0</v>
      </c>
      <c r="AY159" s="2">
        <f t="shared" si="154"/>
        <v>1646916.55</v>
      </c>
      <c r="AZ159" s="2">
        <f t="shared" si="154"/>
        <v>0</v>
      </c>
      <c r="BA159" s="2">
        <f t="shared" si="154"/>
        <v>0</v>
      </c>
      <c r="BB159" s="2">
        <f t="shared" si="154"/>
        <v>0</v>
      </c>
      <c r="BC159" s="2">
        <f t="shared" si="154"/>
        <v>0</v>
      </c>
      <c r="BD159" s="2">
        <f t="shared" si="154"/>
        <v>0</v>
      </c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>
        <v>0</v>
      </c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201</v>
      </c>
      <c r="F161" s="4">
        <f>ROUND(Source!O159,O161)</f>
        <v>1784259.89</v>
      </c>
      <c r="G161" s="4" t="s">
        <v>87</v>
      </c>
      <c r="H161" s="4" t="s">
        <v>88</v>
      </c>
      <c r="I161" s="4"/>
      <c r="J161" s="4"/>
      <c r="K161" s="4">
        <v>201</v>
      </c>
      <c r="L161" s="4">
        <v>1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202</v>
      </c>
      <c r="F162" s="4">
        <f>ROUND(Source!P159,O162)</f>
        <v>1646916.55</v>
      </c>
      <c r="G162" s="4" t="s">
        <v>89</v>
      </c>
      <c r="H162" s="4" t="s">
        <v>90</v>
      </c>
      <c r="I162" s="4"/>
      <c r="J162" s="4"/>
      <c r="K162" s="4">
        <v>202</v>
      </c>
      <c r="L162" s="4">
        <v>2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222</v>
      </c>
      <c r="F163" s="4">
        <f>ROUND(Source!AO159,O163)</f>
        <v>0</v>
      </c>
      <c r="G163" s="4" t="s">
        <v>91</v>
      </c>
      <c r="H163" s="4" t="s">
        <v>92</v>
      </c>
      <c r="I163" s="4"/>
      <c r="J163" s="4"/>
      <c r="K163" s="4">
        <v>222</v>
      </c>
      <c r="L163" s="4">
        <v>3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225</v>
      </c>
      <c r="F164" s="4">
        <f>ROUND(Source!AV159,O164)</f>
        <v>1646916.55</v>
      </c>
      <c r="G164" s="4" t="s">
        <v>93</v>
      </c>
      <c r="H164" s="4" t="s">
        <v>94</v>
      </c>
      <c r="I164" s="4"/>
      <c r="J164" s="4"/>
      <c r="K164" s="4">
        <v>225</v>
      </c>
      <c r="L164" s="4">
        <v>4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226</v>
      </c>
      <c r="F165" s="4">
        <f>ROUND(Source!AW159,O165)</f>
        <v>1646916.55</v>
      </c>
      <c r="G165" s="4" t="s">
        <v>95</v>
      </c>
      <c r="H165" s="4" t="s">
        <v>96</v>
      </c>
      <c r="I165" s="4"/>
      <c r="J165" s="4"/>
      <c r="K165" s="4">
        <v>226</v>
      </c>
      <c r="L165" s="4">
        <v>5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227</v>
      </c>
      <c r="F166" s="4">
        <f>ROUND(Source!AX159,O166)</f>
        <v>0</v>
      </c>
      <c r="G166" s="4" t="s">
        <v>97</v>
      </c>
      <c r="H166" s="4" t="s">
        <v>98</v>
      </c>
      <c r="I166" s="4"/>
      <c r="J166" s="4"/>
      <c r="K166" s="4">
        <v>227</v>
      </c>
      <c r="L166" s="4">
        <v>6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228</v>
      </c>
      <c r="F167" s="4">
        <f>ROUND(Source!AY159,O167)</f>
        <v>1646916.55</v>
      </c>
      <c r="G167" s="4" t="s">
        <v>99</v>
      </c>
      <c r="H167" s="4" t="s">
        <v>100</v>
      </c>
      <c r="I167" s="4"/>
      <c r="J167" s="4"/>
      <c r="K167" s="4">
        <v>228</v>
      </c>
      <c r="L167" s="4">
        <v>7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216</v>
      </c>
      <c r="F168" s="4">
        <f>ROUND(Source!AP159,O168)</f>
        <v>0</v>
      </c>
      <c r="G168" s="4" t="s">
        <v>101</v>
      </c>
      <c r="H168" s="4" t="s">
        <v>102</v>
      </c>
      <c r="I168" s="4"/>
      <c r="J168" s="4"/>
      <c r="K168" s="4">
        <v>216</v>
      </c>
      <c r="L168" s="4">
        <v>8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223</v>
      </c>
      <c r="F169" s="4">
        <f>ROUND(Source!AQ159,O169)</f>
        <v>0</v>
      </c>
      <c r="G169" s="4" t="s">
        <v>103</v>
      </c>
      <c r="H169" s="4" t="s">
        <v>104</v>
      </c>
      <c r="I169" s="4"/>
      <c r="J169" s="4"/>
      <c r="K169" s="4">
        <v>223</v>
      </c>
      <c r="L169" s="4">
        <v>9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229</v>
      </c>
      <c r="F170" s="4">
        <f>ROUND(Source!AZ159,O170)</f>
        <v>0</v>
      </c>
      <c r="G170" s="4" t="s">
        <v>105</v>
      </c>
      <c r="H170" s="4" t="s">
        <v>106</v>
      </c>
      <c r="I170" s="4"/>
      <c r="J170" s="4"/>
      <c r="K170" s="4">
        <v>229</v>
      </c>
      <c r="L170" s="4">
        <v>10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203</v>
      </c>
      <c r="F171" s="4">
        <f>ROUND(Source!Q159,O171)</f>
        <v>22950.48</v>
      </c>
      <c r="G171" s="4" t="s">
        <v>107</v>
      </c>
      <c r="H171" s="4" t="s">
        <v>108</v>
      </c>
      <c r="I171" s="4"/>
      <c r="J171" s="4"/>
      <c r="K171" s="4">
        <v>203</v>
      </c>
      <c r="L171" s="4">
        <v>11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231</v>
      </c>
      <c r="F172" s="4">
        <f>ROUND(Source!BB159,O172)</f>
        <v>0</v>
      </c>
      <c r="G172" s="4" t="s">
        <v>109</v>
      </c>
      <c r="H172" s="4" t="s">
        <v>110</v>
      </c>
      <c r="I172" s="4"/>
      <c r="J172" s="4"/>
      <c r="K172" s="4">
        <v>231</v>
      </c>
      <c r="L172" s="4">
        <v>12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204</v>
      </c>
      <c r="F173" s="4">
        <f>ROUND(Source!R159,O173)</f>
        <v>12245.02</v>
      </c>
      <c r="G173" s="4" t="s">
        <v>111</v>
      </c>
      <c r="H173" s="4" t="s">
        <v>112</v>
      </c>
      <c r="I173" s="4"/>
      <c r="J173" s="4"/>
      <c r="K173" s="4">
        <v>204</v>
      </c>
      <c r="L173" s="4">
        <v>13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205</v>
      </c>
      <c r="F174" s="4">
        <f>ROUND(Source!S159,O174)</f>
        <v>114392.86</v>
      </c>
      <c r="G174" s="4" t="s">
        <v>113</v>
      </c>
      <c r="H174" s="4" t="s">
        <v>114</v>
      </c>
      <c r="I174" s="4"/>
      <c r="J174" s="4"/>
      <c r="K174" s="4">
        <v>205</v>
      </c>
      <c r="L174" s="4">
        <v>14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232</v>
      </c>
      <c r="F175" s="4">
        <f>ROUND(Source!BC159,O175)</f>
        <v>0</v>
      </c>
      <c r="G175" s="4" t="s">
        <v>115</v>
      </c>
      <c r="H175" s="4" t="s">
        <v>116</v>
      </c>
      <c r="I175" s="4"/>
      <c r="J175" s="4"/>
      <c r="K175" s="4">
        <v>232</v>
      </c>
      <c r="L175" s="4">
        <v>15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214</v>
      </c>
      <c r="F176" s="4">
        <f>ROUND(Source!AS159,O176)</f>
        <v>0</v>
      </c>
      <c r="G176" s="4" t="s">
        <v>117</v>
      </c>
      <c r="H176" s="4" t="s">
        <v>118</v>
      </c>
      <c r="I176" s="4"/>
      <c r="J176" s="4"/>
      <c r="K176" s="4">
        <v>214</v>
      </c>
      <c r="L176" s="4">
        <v>16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215</v>
      </c>
      <c r="F177" s="4">
        <f>ROUND(Source!AT159,O177)</f>
        <v>258021.84</v>
      </c>
      <c r="G177" s="4" t="s">
        <v>119</v>
      </c>
      <c r="H177" s="4" t="s">
        <v>120</v>
      </c>
      <c r="I177" s="4"/>
      <c r="J177" s="4"/>
      <c r="K177" s="4">
        <v>215</v>
      </c>
      <c r="L177" s="4">
        <v>17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217</v>
      </c>
      <c r="F178" s="4">
        <f>ROUND(Source!AU159,O178)</f>
        <v>1675614.53</v>
      </c>
      <c r="G178" s="4" t="s">
        <v>121</v>
      </c>
      <c r="H178" s="4" t="s">
        <v>122</v>
      </c>
      <c r="I178" s="4"/>
      <c r="J178" s="4"/>
      <c r="K178" s="4">
        <v>217</v>
      </c>
      <c r="L178" s="4">
        <v>18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230</v>
      </c>
      <c r="F179" s="4">
        <f>ROUND(Source!BA159,O179)</f>
        <v>0</v>
      </c>
      <c r="G179" s="4" t="s">
        <v>123</v>
      </c>
      <c r="H179" s="4" t="s">
        <v>124</v>
      </c>
      <c r="I179" s="4"/>
      <c r="J179" s="4"/>
      <c r="K179" s="4">
        <v>230</v>
      </c>
      <c r="L179" s="4">
        <v>19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206</v>
      </c>
      <c r="F180" s="4">
        <f>ROUND(Source!T159,O180)</f>
        <v>0</v>
      </c>
      <c r="G180" s="4" t="s">
        <v>125</v>
      </c>
      <c r="H180" s="4" t="s">
        <v>126</v>
      </c>
      <c r="I180" s="4"/>
      <c r="J180" s="4"/>
      <c r="K180" s="4">
        <v>206</v>
      </c>
      <c r="L180" s="4">
        <v>20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207</v>
      </c>
      <c r="F181" s="4">
        <f>Source!U159</f>
        <v>354.98715720000001</v>
      </c>
      <c r="G181" s="4" t="s">
        <v>127</v>
      </c>
      <c r="H181" s="4" t="s">
        <v>128</v>
      </c>
      <c r="I181" s="4"/>
      <c r="J181" s="4"/>
      <c r="K181" s="4">
        <v>207</v>
      </c>
      <c r="L181" s="4">
        <v>21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208</v>
      </c>
      <c r="F182" s="4">
        <f>Source!V159</f>
        <v>0</v>
      </c>
      <c r="G182" s="4" t="s">
        <v>129</v>
      </c>
      <c r="H182" s="4" t="s">
        <v>130</v>
      </c>
      <c r="I182" s="4"/>
      <c r="J182" s="4"/>
      <c r="K182" s="4">
        <v>208</v>
      </c>
      <c r="L182" s="4">
        <v>22</v>
      </c>
      <c r="M182" s="4">
        <v>3</v>
      </c>
      <c r="N182" s="4" t="s">
        <v>3</v>
      </c>
      <c r="O182" s="4">
        <v>-1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209</v>
      </c>
      <c r="F183" s="4">
        <f>ROUND(Source!W159,O183)</f>
        <v>0</v>
      </c>
      <c r="G183" s="4" t="s">
        <v>131</v>
      </c>
      <c r="H183" s="4" t="s">
        <v>132</v>
      </c>
      <c r="I183" s="4"/>
      <c r="J183" s="4"/>
      <c r="K183" s="4">
        <v>209</v>
      </c>
      <c r="L183" s="4">
        <v>23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233</v>
      </c>
      <c r="F184" s="4">
        <f>ROUND(Source!BD159,O184)</f>
        <v>0</v>
      </c>
      <c r="G184" s="4" t="s">
        <v>133</v>
      </c>
      <c r="H184" s="4" t="s">
        <v>134</v>
      </c>
      <c r="I184" s="4"/>
      <c r="J184" s="4"/>
      <c r="K184" s="4">
        <v>233</v>
      </c>
      <c r="L184" s="4">
        <v>24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210</v>
      </c>
      <c r="F185" s="4">
        <f>ROUND(Source!X159,O185)</f>
        <v>83250.720000000001</v>
      </c>
      <c r="G185" s="4" t="s">
        <v>135</v>
      </c>
      <c r="H185" s="4" t="s">
        <v>136</v>
      </c>
      <c r="I185" s="4"/>
      <c r="J185" s="4"/>
      <c r="K185" s="4">
        <v>210</v>
      </c>
      <c r="L185" s="4">
        <v>25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211</v>
      </c>
      <c r="F186" s="4">
        <f>ROUND(Source!Y159,O186)</f>
        <v>46901.08</v>
      </c>
      <c r="G186" s="4" t="s">
        <v>137</v>
      </c>
      <c r="H186" s="4" t="s">
        <v>138</v>
      </c>
      <c r="I186" s="4"/>
      <c r="J186" s="4"/>
      <c r="K186" s="4">
        <v>211</v>
      </c>
      <c r="L186" s="4">
        <v>26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224</v>
      </c>
      <c r="F187" s="4">
        <f>ROUND(Source!AR159,O187)</f>
        <v>1933636.37</v>
      </c>
      <c r="G187" s="4" t="s">
        <v>139</v>
      </c>
      <c r="H187" s="4" t="s">
        <v>140</v>
      </c>
      <c r="I187" s="4"/>
      <c r="J187" s="4"/>
      <c r="K187" s="4">
        <v>224</v>
      </c>
      <c r="L187" s="4">
        <v>27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9" spans="1:206" x14ac:dyDescent="0.2">
      <c r="A189" s="2">
        <v>51</v>
      </c>
      <c r="B189" s="2">
        <f>B12</f>
        <v>225</v>
      </c>
      <c r="C189" s="2">
        <f>A12</f>
        <v>1</v>
      </c>
      <c r="D189" s="2">
        <f>ROW(A12)</f>
        <v>12</v>
      </c>
      <c r="E189" s="2"/>
      <c r="F189" s="2" t="str">
        <f>IF(F12&lt;&gt;"",F12,"")</f>
        <v>ТП-522. Реконструкция. Замена 8 панелей в РУ-0,4 кВ.</v>
      </c>
      <c r="G189" s="2" t="str">
        <f>IF(G12&lt;&gt;"",G12,"")</f>
        <v>ТП-522. Реконструкция. Замена 8 панелей в РУ-0,4 кВ.</v>
      </c>
      <c r="H189" s="2">
        <v>0</v>
      </c>
      <c r="I189" s="2"/>
      <c r="J189" s="2"/>
      <c r="K189" s="2"/>
      <c r="L189" s="2"/>
      <c r="M189" s="2"/>
      <c r="N189" s="2"/>
      <c r="O189" s="2">
        <f t="shared" ref="O189:T189" si="155">ROUND(O159,2)</f>
        <v>1784259.89</v>
      </c>
      <c r="P189" s="2">
        <f t="shared" si="155"/>
        <v>1646916.55</v>
      </c>
      <c r="Q189" s="2">
        <f t="shared" si="155"/>
        <v>22950.48</v>
      </c>
      <c r="R189" s="2">
        <f t="shared" si="155"/>
        <v>12245.02</v>
      </c>
      <c r="S189" s="2">
        <f t="shared" si="155"/>
        <v>114392.86</v>
      </c>
      <c r="T189" s="2">
        <f t="shared" si="155"/>
        <v>0</v>
      </c>
      <c r="U189" s="2">
        <f>U159</f>
        <v>354.98715720000001</v>
      </c>
      <c r="V189" s="2">
        <f>V159</f>
        <v>0</v>
      </c>
      <c r="W189" s="2">
        <f>ROUND(W159,2)</f>
        <v>0</v>
      </c>
      <c r="X189" s="2">
        <f>ROUND(X159,2)</f>
        <v>83250.720000000001</v>
      </c>
      <c r="Y189" s="2">
        <f>ROUND(Y159,2)</f>
        <v>46901.08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>
        <f t="shared" ref="AO189:BD189" si="156">ROUND(AO159,2)</f>
        <v>0</v>
      </c>
      <c r="AP189" s="2">
        <f t="shared" si="156"/>
        <v>0</v>
      </c>
      <c r="AQ189" s="2">
        <f t="shared" si="156"/>
        <v>0</v>
      </c>
      <c r="AR189" s="2">
        <f t="shared" si="156"/>
        <v>1933636.37</v>
      </c>
      <c r="AS189" s="2">
        <f t="shared" si="156"/>
        <v>0</v>
      </c>
      <c r="AT189" s="2">
        <f t="shared" si="156"/>
        <v>258021.84</v>
      </c>
      <c r="AU189" s="2">
        <f t="shared" si="156"/>
        <v>1675614.53</v>
      </c>
      <c r="AV189" s="2">
        <f t="shared" si="156"/>
        <v>1646916.55</v>
      </c>
      <c r="AW189" s="2">
        <f t="shared" si="156"/>
        <v>1646916.55</v>
      </c>
      <c r="AX189" s="2">
        <f t="shared" si="156"/>
        <v>0</v>
      </c>
      <c r="AY189" s="2">
        <f t="shared" si="156"/>
        <v>1646916.55</v>
      </c>
      <c r="AZ189" s="2">
        <f t="shared" si="156"/>
        <v>0</v>
      </c>
      <c r="BA189" s="2">
        <f t="shared" si="156"/>
        <v>0</v>
      </c>
      <c r="BB189" s="2">
        <f t="shared" si="156"/>
        <v>0</v>
      </c>
      <c r="BC189" s="2">
        <f t="shared" si="156"/>
        <v>0</v>
      </c>
      <c r="BD189" s="2">
        <f t="shared" si="156"/>
        <v>0</v>
      </c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>
        <v>0</v>
      </c>
    </row>
    <row r="191" spans="1:206" x14ac:dyDescent="0.2">
      <c r="A191" s="4">
        <v>50</v>
      </c>
      <c r="B191" s="4">
        <v>0</v>
      </c>
      <c r="C191" s="4">
        <v>0</v>
      </c>
      <c r="D191" s="4">
        <v>1</v>
      </c>
      <c r="E191" s="4">
        <v>201</v>
      </c>
      <c r="F191" s="4">
        <f>ROUND(Source!O189,O191)</f>
        <v>1784259.89</v>
      </c>
      <c r="G191" s="4" t="s">
        <v>87</v>
      </c>
      <c r="H191" s="4" t="s">
        <v>88</v>
      </c>
      <c r="I191" s="4"/>
      <c r="J191" s="4"/>
      <c r="K191" s="4">
        <v>201</v>
      </c>
      <c r="L191" s="4">
        <v>1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 x14ac:dyDescent="0.2">
      <c r="A192" s="4">
        <v>50</v>
      </c>
      <c r="B192" s="4">
        <v>0</v>
      </c>
      <c r="C192" s="4">
        <v>0</v>
      </c>
      <c r="D192" s="4">
        <v>1</v>
      </c>
      <c r="E192" s="4">
        <v>202</v>
      </c>
      <c r="F192" s="4">
        <f>ROUND(Source!P189,O192)</f>
        <v>1646916.55</v>
      </c>
      <c r="G192" s="4" t="s">
        <v>89</v>
      </c>
      <c r="H192" s="4" t="s">
        <v>90</v>
      </c>
      <c r="I192" s="4"/>
      <c r="J192" s="4"/>
      <c r="K192" s="4">
        <v>202</v>
      </c>
      <c r="L192" s="4">
        <v>2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222</v>
      </c>
      <c r="F193" s="4">
        <f>ROUND(Source!AO189,O193)</f>
        <v>0</v>
      </c>
      <c r="G193" s="4" t="s">
        <v>91</v>
      </c>
      <c r="H193" s="4" t="s">
        <v>92</v>
      </c>
      <c r="I193" s="4"/>
      <c r="J193" s="4"/>
      <c r="K193" s="4">
        <v>222</v>
      </c>
      <c r="L193" s="4">
        <v>3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225</v>
      </c>
      <c r="F194" s="4">
        <f>ROUND(Source!AV189,O194)</f>
        <v>1646916.55</v>
      </c>
      <c r="G194" s="4" t="s">
        <v>93</v>
      </c>
      <c r="H194" s="4" t="s">
        <v>94</v>
      </c>
      <c r="I194" s="4"/>
      <c r="J194" s="4"/>
      <c r="K194" s="4">
        <v>225</v>
      </c>
      <c r="L194" s="4">
        <v>4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226</v>
      </c>
      <c r="F195" s="4">
        <f>ROUND(Source!AW189,O195)</f>
        <v>1646916.55</v>
      </c>
      <c r="G195" s="4" t="s">
        <v>95</v>
      </c>
      <c r="H195" s="4" t="s">
        <v>96</v>
      </c>
      <c r="I195" s="4"/>
      <c r="J195" s="4"/>
      <c r="K195" s="4">
        <v>226</v>
      </c>
      <c r="L195" s="4">
        <v>5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227</v>
      </c>
      <c r="F196" s="4">
        <f>ROUND(Source!AX189,O196)</f>
        <v>0</v>
      </c>
      <c r="G196" s="4" t="s">
        <v>97</v>
      </c>
      <c r="H196" s="4" t="s">
        <v>98</v>
      </c>
      <c r="I196" s="4"/>
      <c r="J196" s="4"/>
      <c r="K196" s="4">
        <v>227</v>
      </c>
      <c r="L196" s="4">
        <v>6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228</v>
      </c>
      <c r="F197" s="4">
        <f>ROUND(Source!AY189,O197)</f>
        <v>1646916.55</v>
      </c>
      <c r="G197" s="4" t="s">
        <v>99</v>
      </c>
      <c r="H197" s="4" t="s">
        <v>100</v>
      </c>
      <c r="I197" s="4"/>
      <c r="J197" s="4"/>
      <c r="K197" s="4">
        <v>228</v>
      </c>
      <c r="L197" s="4">
        <v>7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216</v>
      </c>
      <c r="F198" s="4">
        <f>ROUND(Source!AP189,O198)</f>
        <v>0</v>
      </c>
      <c r="G198" s="4" t="s">
        <v>101</v>
      </c>
      <c r="H198" s="4" t="s">
        <v>102</v>
      </c>
      <c r="I198" s="4"/>
      <c r="J198" s="4"/>
      <c r="K198" s="4">
        <v>216</v>
      </c>
      <c r="L198" s="4">
        <v>8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223</v>
      </c>
      <c r="F199" s="4">
        <f>ROUND(Source!AQ189,O199)</f>
        <v>0</v>
      </c>
      <c r="G199" s="4" t="s">
        <v>103</v>
      </c>
      <c r="H199" s="4" t="s">
        <v>104</v>
      </c>
      <c r="I199" s="4"/>
      <c r="J199" s="4"/>
      <c r="K199" s="4">
        <v>223</v>
      </c>
      <c r="L199" s="4">
        <v>9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229</v>
      </c>
      <c r="F200" s="4">
        <f>ROUND(Source!AZ189,O200)</f>
        <v>0</v>
      </c>
      <c r="G200" s="4" t="s">
        <v>105</v>
      </c>
      <c r="H200" s="4" t="s">
        <v>106</v>
      </c>
      <c r="I200" s="4"/>
      <c r="J200" s="4"/>
      <c r="K200" s="4">
        <v>229</v>
      </c>
      <c r="L200" s="4">
        <v>10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203</v>
      </c>
      <c r="F201" s="4">
        <f>ROUND(Source!Q189,O201)</f>
        <v>22950.48</v>
      </c>
      <c r="G201" s="4" t="s">
        <v>107</v>
      </c>
      <c r="H201" s="4" t="s">
        <v>108</v>
      </c>
      <c r="I201" s="4"/>
      <c r="J201" s="4"/>
      <c r="K201" s="4">
        <v>203</v>
      </c>
      <c r="L201" s="4">
        <v>11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231</v>
      </c>
      <c r="F202" s="4">
        <f>ROUND(Source!BB189,O202)</f>
        <v>0</v>
      </c>
      <c r="G202" s="4" t="s">
        <v>109</v>
      </c>
      <c r="H202" s="4" t="s">
        <v>110</v>
      </c>
      <c r="I202" s="4"/>
      <c r="J202" s="4"/>
      <c r="K202" s="4">
        <v>231</v>
      </c>
      <c r="L202" s="4">
        <v>12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204</v>
      </c>
      <c r="F203" s="4">
        <f>ROUND(Source!R189,O203)</f>
        <v>12245.02</v>
      </c>
      <c r="G203" s="4" t="s">
        <v>111</v>
      </c>
      <c r="H203" s="4" t="s">
        <v>112</v>
      </c>
      <c r="I203" s="4"/>
      <c r="J203" s="4"/>
      <c r="K203" s="4">
        <v>204</v>
      </c>
      <c r="L203" s="4">
        <v>13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205</v>
      </c>
      <c r="F204" s="4">
        <f>ROUND(Source!S189,O204)</f>
        <v>114392.86</v>
      </c>
      <c r="G204" s="4" t="s">
        <v>113</v>
      </c>
      <c r="H204" s="4" t="s">
        <v>114</v>
      </c>
      <c r="I204" s="4"/>
      <c r="J204" s="4"/>
      <c r="K204" s="4">
        <v>205</v>
      </c>
      <c r="L204" s="4">
        <v>14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232</v>
      </c>
      <c r="F205" s="4">
        <f>ROUND(Source!BC189,O205)</f>
        <v>0</v>
      </c>
      <c r="G205" s="4" t="s">
        <v>115</v>
      </c>
      <c r="H205" s="4" t="s">
        <v>116</v>
      </c>
      <c r="I205" s="4"/>
      <c r="J205" s="4"/>
      <c r="K205" s="4">
        <v>232</v>
      </c>
      <c r="L205" s="4">
        <v>15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214</v>
      </c>
      <c r="F206" s="4">
        <f>ROUND(Source!AS189,O206)</f>
        <v>0</v>
      </c>
      <c r="G206" s="4" t="s">
        <v>117</v>
      </c>
      <c r="H206" s="4" t="s">
        <v>118</v>
      </c>
      <c r="I206" s="4"/>
      <c r="J206" s="4"/>
      <c r="K206" s="4">
        <v>214</v>
      </c>
      <c r="L206" s="4">
        <v>16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215</v>
      </c>
      <c r="F207" s="4">
        <f>ROUND(Source!AT189,O207)</f>
        <v>258021.84</v>
      </c>
      <c r="G207" s="4" t="s">
        <v>119</v>
      </c>
      <c r="H207" s="4" t="s">
        <v>120</v>
      </c>
      <c r="I207" s="4"/>
      <c r="J207" s="4"/>
      <c r="K207" s="4">
        <v>215</v>
      </c>
      <c r="L207" s="4">
        <v>17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217</v>
      </c>
      <c r="F208" s="4">
        <f>ROUND(Source!AU189,O208)</f>
        <v>1675614.53</v>
      </c>
      <c r="G208" s="4" t="s">
        <v>121</v>
      </c>
      <c r="H208" s="4" t="s">
        <v>122</v>
      </c>
      <c r="I208" s="4"/>
      <c r="J208" s="4"/>
      <c r="K208" s="4">
        <v>217</v>
      </c>
      <c r="L208" s="4">
        <v>18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230</v>
      </c>
      <c r="F209" s="4">
        <f>ROUND(Source!BA189,O209)</f>
        <v>0</v>
      </c>
      <c r="G209" s="4" t="s">
        <v>123</v>
      </c>
      <c r="H209" s="4" t="s">
        <v>124</v>
      </c>
      <c r="I209" s="4"/>
      <c r="J209" s="4"/>
      <c r="K209" s="4">
        <v>230</v>
      </c>
      <c r="L209" s="4">
        <v>19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206</v>
      </c>
      <c r="F210" s="4">
        <f>ROUND(Source!T189,O210)</f>
        <v>0</v>
      </c>
      <c r="G210" s="4" t="s">
        <v>125</v>
      </c>
      <c r="H210" s="4" t="s">
        <v>126</v>
      </c>
      <c r="I210" s="4"/>
      <c r="J210" s="4"/>
      <c r="K210" s="4">
        <v>206</v>
      </c>
      <c r="L210" s="4">
        <v>20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207</v>
      </c>
      <c r="F211" s="4">
        <f>Source!U189</f>
        <v>354.98715720000001</v>
      </c>
      <c r="G211" s="4" t="s">
        <v>127</v>
      </c>
      <c r="H211" s="4" t="s">
        <v>128</v>
      </c>
      <c r="I211" s="4"/>
      <c r="J211" s="4"/>
      <c r="K211" s="4">
        <v>207</v>
      </c>
      <c r="L211" s="4">
        <v>21</v>
      </c>
      <c r="M211" s="4">
        <v>3</v>
      </c>
      <c r="N211" s="4" t="s">
        <v>3</v>
      </c>
      <c r="O211" s="4">
        <v>-1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208</v>
      </c>
      <c r="F212" s="4">
        <f>Source!V189</f>
        <v>0</v>
      </c>
      <c r="G212" s="4" t="s">
        <v>129</v>
      </c>
      <c r="H212" s="4" t="s">
        <v>130</v>
      </c>
      <c r="I212" s="4"/>
      <c r="J212" s="4"/>
      <c r="K212" s="4">
        <v>208</v>
      </c>
      <c r="L212" s="4">
        <v>22</v>
      </c>
      <c r="M212" s="4">
        <v>3</v>
      </c>
      <c r="N212" s="4" t="s">
        <v>3</v>
      </c>
      <c r="O212" s="4">
        <v>-1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209</v>
      </c>
      <c r="F213" s="4">
        <f>ROUND(Source!W189,O213)</f>
        <v>0</v>
      </c>
      <c r="G213" s="4" t="s">
        <v>131</v>
      </c>
      <c r="H213" s="4" t="s">
        <v>132</v>
      </c>
      <c r="I213" s="4"/>
      <c r="J213" s="4"/>
      <c r="K213" s="4">
        <v>209</v>
      </c>
      <c r="L213" s="4">
        <v>23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233</v>
      </c>
      <c r="F214" s="4">
        <f>ROUND(Source!BD189,O214)</f>
        <v>0</v>
      </c>
      <c r="G214" s="4" t="s">
        <v>133</v>
      </c>
      <c r="H214" s="4" t="s">
        <v>134</v>
      </c>
      <c r="I214" s="4"/>
      <c r="J214" s="4"/>
      <c r="K214" s="4">
        <v>233</v>
      </c>
      <c r="L214" s="4">
        <v>24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210</v>
      </c>
      <c r="F215" s="4">
        <f>ROUND(Source!X189,O215)</f>
        <v>83250.720000000001</v>
      </c>
      <c r="G215" s="4" t="s">
        <v>135</v>
      </c>
      <c r="H215" s="4" t="s">
        <v>136</v>
      </c>
      <c r="I215" s="4"/>
      <c r="J215" s="4"/>
      <c r="K215" s="4">
        <v>210</v>
      </c>
      <c r="L215" s="4">
        <v>25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211</v>
      </c>
      <c r="F216" s="4">
        <f>ROUND(Source!Y189,O216)</f>
        <v>46901.08</v>
      </c>
      <c r="G216" s="4" t="s">
        <v>137</v>
      </c>
      <c r="H216" s="4" t="s">
        <v>138</v>
      </c>
      <c r="I216" s="4"/>
      <c r="J216" s="4"/>
      <c r="K216" s="4">
        <v>211</v>
      </c>
      <c r="L216" s="4">
        <v>26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224</v>
      </c>
      <c r="F217" s="4">
        <f>ROUND(Source!AR189,O217)</f>
        <v>1933636.37</v>
      </c>
      <c r="G217" s="4" t="s">
        <v>139</v>
      </c>
      <c r="H217" s="4" t="s">
        <v>140</v>
      </c>
      <c r="I217" s="4"/>
      <c r="J217" s="4"/>
      <c r="K217" s="4">
        <v>224</v>
      </c>
      <c r="L217" s="4">
        <v>27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1</v>
      </c>
      <c r="C218" s="4">
        <v>0</v>
      </c>
      <c r="D218" s="4">
        <v>2</v>
      </c>
      <c r="E218" s="4">
        <v>0</v>
      </c>
      <c r="F218" s="4">
        <f>ROUND(F217,O218)</f>
        <v>1933636.37</v>
      </c>
      <c r="G218" s="4" t="s">
        <v>234</v>
      </c>
      <c r="H218" s="4" t="s">
        <v>234</v>
      </c>
      <c r="I218" s="4"/>
      <c r="J218" s="4"/>
      <c r="K218" s="4">
        <v>212</v>
      </c>
      <c r="L218" s="4">
        <v>28</v>
      </c>
      <c r="M218" s="4">
        <v>0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1</v>
      </c>
      <c r="C219" s="4">
        <v>0</v>
      </c>
      <c r="D219" s="4">
        <v>2</v>
      </c>
      <c r="E219" s="4">
        <v>0</v>
      </c>
      <c r="F219" s="4">
        <f>ROUND(F218*0.2,O219)</f>
        <v>386727.27</v>
      </c>
      <c r="G219" s="4" t="s">
        <v>235</v>
      </c>
      <c r="H219" s="4" t="s">
        <v>236</v>
      </c>
      <c r="I219" s="4"/>
      <c r="J219" s="4"/>
      <c r="K219" s="4">
        <v>212</v>
      </c>
      <c r="L219" s="4">
        <v>29</v>
      </c>
      <c r="M219" s="4">
        <v>0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1</v>
      </c>
      <c r="C220" s="4">
        <v>0</v>
      </c>
      <c r="D220" s="4">
        <v>2</v>
      </c>
      <c r="E220" s="4">
        <v>213</v>
      </c>
      <c r="F220" s="4">
        <f>ROUND(ROUND(F218+F219,2),O220)</f>
        <v>2320363.64</v>
      </c>
      <c r="G220" s="4" t="s">
        <v>237</v>
      </c>
      <c r="H220" s="4" t="s">
        <v>237</v>
      </c>
      <c r="I220" s="4"/>
      <c r="J220" s="4"/>
      <c r="K220" s="4">
        <v>212</v>
      </c>
      <c r="L220" s="4">
        <v>30</v>
      </c>
      <c r="M220" s="4">
        <v>0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3" spans="1:23" x14ac:dyDescent="0.2">
      <c r="A223">
        <v>-1</v>
      </c>
    </row>
    <row r="225" spans="1:40" x14ac:dyDescent="0.2">
      <c r="A225" s="3">
        <v>75</v>
      </c>
      <c r="B225" s="3" t="s">
        <v>238</v>
      </c>
      <c r="C225" s="3">
        <v>2020</v>
      </c>
      <c r="D225" s="3">
        <v>0</v>
      </c>
      <c r="E225" s="3">
        <v>12</v>
      </c>
      <c r="F225" s="3"/>
      <c r="G225" s="3">
        <v>0</v>
      </c>
      <c r="H225" s="3">
        <v>2</v>
      </c>
      <c r="I225" s="3">
        <v>1</v>
      </c>
      <c r="J225" s="3">
        <v>1</v>
      </c>
      <c r="K225" s="3">
        <v>93</v>
      </c>
      <c r="L225" s="3">
        <v>64</v>
      </c>
      <c r="M225" s="3">
        <v>0</v>
      </c>
      <c r="N225" s="3">
        <v>23680976</v>
      </c>
      <c r="O225" s="3">
        <v>1</v>
      </c>
    </row>
    <row r="226" spans="1:40" x14ac:dyDescent="0.2">
      <c r="A226" s="5">
        <v>1</v>
      </c>
      <c r="B226" s="5" t="s">
        <v>239</v>
      </c>
      <c r="C226" s="5" t="s">
        <v>240</v>
      </c>
      <c r="D226" s="5">
        <v>2020</v>
      </c>
      <c r="E226" s="5">
        <v>12</v>
      </c>
      <c r="F226" s="5">
        <v>1</v>
      </c>
      <c r="G226" s="5">
        <v>1</v>
      </c>
      <c r="H226" s="5">
        <v>0</v>
      </c>
      <c r="I226" s="5">
        <v>2</v>
      </c>
      <c r="J226" s="5">
        <v>1</v>
      </c>
      <c r="K226" s="5">
        <v>1</v>
      </c>
      <c r="L226" s="5">
        <v>1</v>
      </c>
      <c r="M226" s="5">
        <v>1</v>
      </c>
      <c r="N226" s="5">
        <v>1</v>
      </c>
      <c r="O226" s="5">
        <v>1</v>
      </c>
      <c r="P226" s="5">
        <v>1</v>
      </c>
      <c r="Q226" s="5">
        <v>1</v>
      </c>
      <c r="R226" s="5" t="s">
        <v>3</v>
      </c>
      <c r="S226" s="5" t="s">
        <v>3</v>
      </c>
      <c r="T226" s="5" t="s">
        <v>3</v>
      </c>
      <c r="U226" s="5" t="s">
        <v>3</v>
      </c>
      <c r="V226" s="5" t="s">
        <v>3</v>
      </c>
      <c r="W226" s="5" t="s">
        <v>3</v>
      </c>
      <c r="X226" s="5" t="s">
        <v>3</v>
      </c>
      <c r="Y226" s="5" t="s">
        <v>3</v>
      </c>
      <c r="Z226" s="5" t="s">
        <v>3</v>
      </c>
      <c r="AA226" s="5" t="s">
        <v>241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>
        <v>23680977</v>
      </c>
    </row>
    <row r="230" spans="1:40" x14ac:dyDescent="0.2">
      <c r="A230">
        <v>65</v>
      </c>
      <c r="C230">
        <v>1</v>
      </c>
      <c r="D230">
        <v>0</v>
      </c>
      <c r="E230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23680976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(Source!F176)/1000</f>
        <v>0</v>
      </c>
      <c r="F16" s="7">
        <f>(Source!F177)/1000</f>
        <v>258.02184</v>
      </c>
      <c r="G16" s="7">
        <f>(Source!F168)/1000</f>
        <v>0</v>
      </c>
      <c r="H16" s="7">
        <f>(Source!F178)/1000+(Source!F179)/1000</f>
        <v>1675.6145300000001</v>
      </c>
      <c r="I16" s="7">
        <f>E16+F16+G16+H16</f>
        <v>1933.6363700000002</v>
      </c>
      <c r="J16" s="7">
        <f>(Source!F174)/1000</f>
        <v>114.39286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1784259.89</v>
      </c>
      <c r="AU16" s="7">
        <v>1646916.55</v>
      </c>
      <c r="AV16" s="7">
        <v>0</v>
      </c>
      <c r="AW16" s="7">
        <v>0</v>
      </c>
      <c r="AX16" s="7">
        <v>0</v>
      </c>
      <c r="AY16" s="7">
        <v>22950.48</v>
      </c>
      <c r="AZ16" s="7">
        <v>12245.02</v>
      </c>
      <c r="BA16" s="7">
        <v>114392.86</v>
      </c>
      <c r="BB16" s="7">
        <v>0</v>
      </c>
      <c r="BC16" s="7">
        <v>258021.84</v>
      </c>
      <c r="BD16" s="7">
        <v>1675614.53</v>
      </c>
      <c r="BE16" s="7">
        <v>0</v>
      </c>
      <c r="BF16" s="7">
        <v>354.98715720000001</v>
      </c>
      <c r="BG16" s="7">
        <v>0</v>
      </c>
      <c r="BH16" s="7">
        <v>0</v>
      </c>
      <c r="BI16" s="7">
        <v>83250.720000000001</v>
      </c>
      <c r="BJ16" s="7">
        <v>46901.08</v>
      </c>
      <c r="BK16" s="7">
        <v>1933636.37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258.02184</v>
      </c>
      <c r="G18" s="8">
        <f>SUMIF(A16:A17,3,G16:G17)</f>
        <v>0</v>
      </c>
      <c r="H18" s="8">
        <f>SUMIF(A16:A17,3,H16:H17)</f>
        <v>1675.6145300000001</v>
      </c>
      <c r="I18" s="8">
        <f>SUMIF(A16:A17,3,I16:I17)</f>
        <v>1933.6363700000002</v>
      </c>
      <c r="J18" s="8">
        <f>SUMIF(A16:A17,3,J16:J17)</f>
        <v>114.39286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1784259.89</v>
      </c>
      <c r="G20" s="4" t="s">
        <v>87</v>
      </c>
      <c r="H20" s="4" t="s">
        <v>88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1646916.55</v>
      </c>
      <c r="G21" s="4" t="s">
        <v>89</v>
      </c>
      <c r="H21" s="4" t="s">
        <v>90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91</v>
      </c>
      <c r="H22" s="4" t="s">
        <v>92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1646916.55</v>
      </c>
      <c r="G23" s="4" t="s">
        <v>93</v>
      </c>
      <c r="H23" s="4" t="s">
        <v>94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1646916.55</v>
      </c>
      <c r="G24" s="4" t="s">
        <v>95</v>
      </c>
      <c r="H24" s="4" t="s">
        <v>96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97</v>
      </c>
      <c r="H25" s="4" t="s">
        <v>98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1646916.55</v>
      </c>
      <c r="G26" s="4" t="s">
        <v>99</v>
      </c>
      <c r="H26" s="4" t="s">
        <v>100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101</v>
      </c>
      <c r="H27" s="4" t="s">
        <v>102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103</v>
      </c>
      <c r="H28" s="4" t="s">
        <v>104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105</v>
      </c>
      <c r="H29" s="4" t="s">
        <v>106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22950.48</v>
      </c>
      <c r="G30" s="4" t="s">
        <v>107</v>
      </c>
      <c r="H30" s="4" t="s">
        <v>108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109</v>
      </c>
      <c r="H31" s="4" t="s">
        <v>110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12245.02</v>
      </c>
      <c r="G32" s="4" t="s">
        <v>111</v>
      </c>
      <c r="H32" s="4" t="s">
        <v>112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114392.86</v>
      </c>
      <c r="G33" s="4" t="s">
        <v>113</v>
      </c>
      <c r="H33" s="4" t="s">
        <v>114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115</v>
      </c>
      <c r="H34" s="4" t="s">
        <v>116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117</v>
      </c>
      <c r="H35" s="4" t="s">
        <v>118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258021.84</v>
      </c>
      <c r="G36" s="4" t="s">
        <v>119</v>
      </c>
      <c r="H36" s="4" t="s">
        <v>120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1675614.53</v>
      </c>
      <c r="G37" s="4" t="s">
        <v>121</v>
      </c>
      <c r="H37" s="4" t="s">
        <v>122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123</v>
      </c>
      <c r="H38" s="4" t="s">
        <v>124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125</v>
      </c>
      <c r="H39" s="4" t="s">
        <v>126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354.98715720000001</v>
      </c>
      <c r="G40" s="4" t="s">
        <v>127</v>
      </c>
      <c r="H40" s="4" t="s">
        <v>128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129</v>
      </c>
      <c r="H41" s="4" t="s">
        <v>130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131</v>
      </c>
      <c r="H42" s="4" t="s">
        <v>132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133</v>
      </c>
      <c r="H43" s="4" t="s">
        <v>134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83250.720000000001</v>
      </c>
      <c r="G44" s="4" t="s">
        <v>135</v>
      </c>
      <c r="H44" s="4" t="s">
        <v>136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46901.08</v>
      </c>
      <c r="G45" s="4" t="s">
        <v>137</v>
      </c>
      <c r="H45" s="4" t="s">
        <v>138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1933636.37</v>
      </c>
      <c r="G46" s="4" t="s">
        <v>139</v>
      </c>
      <c r="H46" s="4" t="s">
        <v>140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1933636.37</v>
      </c>
      <c r="G47" s="4" t="s">
        <v>234</v>
      </c>
      <c r="H47" s="4" t="s">
        <v>234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386727.27</v>
      </c>
      <c r="G48" s="4" t="s">
        <v>235</v>
      </c>
      <c r="H48" s="4" t="s">
        <v>236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2320363.64</v>
      </c>
      <c r="G49" s="4" t="s">
        <v>237</v>
      </c>
      <c r="H49" s="4" t="s">
        <v>237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238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23680976</v>
      </c>
      <c r="O54" s="3">
        <v>1</v>
      </c>
    </row>
    <row r="55" spans="1:40" x14ac:dyDescent="0.2">
      <c r="A55" s="5">
        <v>1</v>
      </c>
      <c r="B55" s="5" t="s">
        <v>239</v>
      </c>
      <c r="C55" s="5" t="s">
        <v>240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241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23680977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ROW(Source!A38)</f>
        <v>38</v>
      </c>
      <c r="B1">
        <v>23680976</v>
      </c>
      <c r="C1">
        <v>23681223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243</v>
      </c>
      <c r="J1" t="s">
        <v>3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W1">
        <v>0</v>
      </c>
      <c r="X1">
        <v>946207192</v>
      </c>
      <c r="Y1">
        <v>3.0119999999999996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2.5099999999999998</v>
      </c>
      <c r="AU1" t="s">
        <v>28</v>
      </c>
      <c r="AV1">
        <v>1</v>
      </c>
      <c r="AW1">
        <v>2</v>
      </c>
      <c r="AX1">
        <v>23681225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Y1*Source!I38</f>
        <v>24.095999999999997</v>
      </c>
      <c r="CY1">
        <f>AD1</f>
        <v>0</v>
      </c>
      <c r="CZ1">
        <f>AH1</f>
        <v>0</v>
      </c>
      <c r="DA1">
        <f>AL1</f>
        <v>1</v>
      </c>
      <c r="DB1">
        <f>ROUND((ROUND(AT1*CZ1,2)*1.2),6)</f>
        <v>0</v>
      </c>
      <c r="DC1">
        <f>ROUND((ROUND(AT1*AG1,2)*1.2),6)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ROW(Source!A38)</f>
        <v>38</v>
      </c>
      <c r="B1">
        <v>23681225</v>
      </c>
      <c r="C1">
        <v>23681223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243</v>
      </c>
      <c r="J1" t="s">
        <v>3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X1">
        <v>2.5099999999999998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28</v>
      </c>
      <c r="AG1">
        <v>3.0119999999999996</v>
      </c>
      <c r="AH1">
        <v>2</v>
      </c>
      <c r="AI1">
        <v>23681224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2021-08-20T05:56:05Z</dcterms:created>
  <dcterms:modified xsi:type="dcterms:W3CDTF">2021-08-20T05:58:03Z</dcterms:modified>
</cp:coreProperties>
</file>